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ackup_new\EpiBasic\v5.0\"/>
    </mc:Choice>
  </mc:AlternateContent>
  <bookViews>
    <workbookView xWindow="3720" yWindow="165" windowWidth="12225" windowHeight="11640" tabRatio="956"/>
  </bookViews>
  <sheets>
    <sheet name="Start" sheetId="11" r:id="rId1"/>
    <sheet name="D Means" sheetId="20" r:id="rId2"/>
    <sheet name="D Props" sheetId="19" r:id="rId3"/>
    <sheet name="D Rates" sheetId="14" r:id="rId4"/>
    <sheet name="C Means" sheetId="9" r:id="rId5"/>
    <sheet name="C Props" sheetId="2" r:id="rId6"/>
    <sheet name="C Rates" sheetId="5" r:id="rId7"/>
    <sheet name="Tables" sheetId="17" r:id="rId8"/>
    <sheet name="Str MD" sheetId="23" r:id="rId9"/>
    <sheet name="Str RD" sheetId="25" r:id="rId10"/>
    <sheet name="Str RR" sheetId="6" r:id="rId11"/>
    <sheet name="Str OR" sheetId="3" r:id="rId12"/>
    <sheet name="Str IRR" sheetId="7" r:id="rId13"/>
    <sheet name="Str OR (MH)" sheetId="8" r:id="rId14"/>
    <sheet name="Str Any 1" sheetId="21" r:id="rId15"/>
    <sheet name="Str Any 2" sheetId="22" r:id="rId16"/>
    <sheet name="Correlations" sheetId="28" r:id="rId17"/>
    <sheet name="P Values" sheetId="15" r:id="rId18"/>
    <sheet name="Sample Size" sheetId="27" r:id="rId19"/>
  </sheets>
  <definedNames>
    <definedName name="_xlnm.Print_Area" localSheetId="4">'C Means'!$A$1:$J$41</definedName>
    <definedName name="_xlnm.Print_Area" localSheetId="5">'C Props'!$A$1:$J$35</definedName>
    <definedName name="_xlnm.Print_Area" localSheetId="6">'C Rates'!$A$1:$I$9</definedName>
    <definedName name="_xlnm.Print_Area" localSheetId="1">'D Means'!$A$1:$I$43</definedName>
    <definedName name="_xlnm.Print_Area" localSheetId="2">'D Props'!$A$1:$I$46</definedName>
    <definedName name="_xlnm.Print_Area" localSheetId="3">'D Rates'!$A$1:$G$45</definedName>
    <definedName name="_xlnm.Print_Area" localSheetId="17">'P Values'!$A$1:$I$42</definedName>
    <definedName name="_xlnm.Print_Area" localSheetId="18">'Sample Size'!$A$1:$I$42</definedName>
    <definedName name="_xlnm.Print_Area" localSheetId="0">Start!$A$1:$I$37</definedName>
    <definedName name="_xlnm.Print_Area" localSheetId="14">'Str Any 1'!$A$1:$I$50</definedName>
    <definedName name="_xlnm.Print_Area" localSheetId="15">'Str Any 2'!$A$1:$H$56</definedName>
    <definedName name="_xlnm.Print_Area" localSheetId="12">'Str IRR'!$A$1:$I$82</definedName>
    <definedName name="_xlnm.Print_Area" localSheetId="8">'Str MD'!$A$1:$I$50</definedName>
    <definedName name="_xlnm.Print_Area" localSheetId="11">'Str OR'!$A$1:$I$79</definedName>
    <definedName name="_xlnm.Print_Area" localSheetId="13">'Str OR (MH)'!$A$1:$I$70</definedName>
    <definedName name="_xlnm.Print_Area" localSheetId="9">'Str RD'!$A$1:$I$82</definedName>
    <definedName name="_xlnm.Print_Area" localSheetId="10">'Str RR'!$A$1:$I$82</definedName>
    <definedName name="_xlnm.Print_Area" localSheetId="7">Tables!$A$1:$M$69</definedName>
  </definedNames>
  <calcPr calcId="162913"/>
</workbook>
</file>

<file path=xl/calcChain.xml><?xml version="1.0" encoding="utf-8"?>
<calcChain xmlns="http://schemas.openxmlformats.org/spreadsheetml/2006/main">
  <c r="H6" i="28" l="1"/>
  <c r="C9" i="15" l="1"/>
  <c r="C10" i="15"/>
  <c r="C11" i="15"/>
  <c r="C12" i="15"/>
  <c r="C13" i="15"/>
  <c r="C14" i="15"/>
  <c r="C15" i="15"/>
  <c r="C8" i="15"/>
  <c r="I6" i="28" l="1"/>
  <c r="B7" i="28" l="1"/>
  <c r="F7" i="28"/>
  <c r="G6" i="28" s="1"/>
  <c r="C7" i="28"/>
  <c r="C9" i="2"/>
  <c r="C10" i="2"/>
  <c r="E7" i="28" l="1"/>
  <c r="E6" i="28" s="1"/>
  <c r="D7" i="28"/>
  <c r="D6" i="28" s="1"/>
  <c r="W18" i="20"/>
  <c r="W24" i="20"/>
  <c r="W30" i="20"/>
  <c r="W36" i="20"/>
  <c r="W42" i="20"/>
  <c r="C10" i="21" l="1"/>
  <c r="C11" i="21"/>
  <c r="C30" i="27" l="1"/>
  <c r="C17" i="27"/>
  <c r="A68" i="8" l="1"/>
  <c r="A67" i="8"/>
  <c r="A52" i="8"/>
  <c r="A51" i="8"/>
  <c r="A44" i="8"/>
  <c r="A43" i="8"/>
  <c r="A36" i="8"/>
  <c r="A35" i="8"/>
  <c r="A28" i="8"/>
  <c r="A27" i="8"/>
  <c r="A20" i="8"/>
  <c r="A19" i="8"/>
  <c r="A12" i="8"/>
  <c r="A11" i="8"/>
  <c r="A73" i="7"/>
  <c r="A72" i="7"/>
  <c r="A47" i="7"/>
  <c r="A46" i="7"/>
  <c r="A39" i="7"/>
  <c r="A38" i="7"/>
  <c r="A31" i="7"/>
  <c r="A30" i="7"/>
  <c r="A23" i="7"/>
  <c r="A22" i="7"/>
  <c r="A15" i="7"/>
  <c r="A14" i="7"/>
  <c r="A70" i="3"/>
  <c r="A69" i="3"/>
  <c r="A44" i="3"/>
  <c r="A43" i="3"/>
  <c r="A36" i="3"/>
  <c r="A35" i="3"/>
  <c r="A28" i="3"/>
  <c r="A27" i="3"/>
  <c r="A20" i="3"/>
  <c r="A19" i="3"/>
  <c r="A12" i="3"/>
  <c r="A11" i="3"/>
  <c r="A70" i="6"/>
  <c r="A69" i="6"/>
  <c r="A44" i="6"/>
  <c r="A43" i="6"/>
  <c r="A36" i="6"/>
  <c r="A35" i="6"/>
  <c r="A28" i="6"/>
  <c r="A27" i="6"/>
  <c r="A20" i="6"/>
  <c r="A19" i="6"/>
  <c r="A12" i="6"/>
  <c r="A11" i="6"/>
  <c r="A70" i="25"/>
  <c r="A69" i="25"/>
  <c r="A44" i="25"/>
  <c r="A43" i="25"/>
  <c r="A36" i="25"/>
  <c r="A35" i="25"/>
  <c r="A28" i="25"/>
  <c r="A27" i="25"/>
  <c r="A20" i="25"/>
  <c r="A19" i="25"/>
  <c r="A12" i="25"/>
  <c r="A11" i="25"/>
  <c r="A44" i="23"/>
  <c r="A43" i="23"/>
  <c r="A36" i="23"/>
  <c r="A35" i="23"/>
  <c r="A28" i="23"/>
  <c r="A27" i="23"/>
  <c r="A20" i="23"/>
  <c r="A19" i="23"/>
  <c r="A12" i="23"/>
  <c r="A11" i="23"/>
  <c r="C31" i="5"/>
  <c r="C30" i="5"/>
  <c r="A12" i="5"/>
  <c r="A11" i="5"/>
  <c r="A10" i="2"/>
  <c r="A9" i="2"/>
  <c r="A45" i="9"/>
  <c r="A44" i="9"/>
  <c r="A34" i="9"/>
  <c r="A33" i="9"/>
  <c r="A24" i="9"/>
  <c r="A23" i="9"/>
  <c r="A11" i="9"/>
  <c r="A12" i="9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I24" i="27" l="1"/>
  <c r="F24" i="27" s="1"/>
  <c r="K12" i="27"/>
  <c r="K13" i="27" s="1"/>
  <c r="K11" i="27"/>
  <c r="K10" i="27"/>
  <c r="K29" i="27" s="1"/>
  <c r="I12" i="27"/>
  <c r="G12" i="27" s="1"/>
  <c r="I7" i="27"/>
  <c r="C45" i="25"/>
  <c r="B45" i="25"/>
  <c r="D45" i="25" s="1"/>
  <c r="G44" i="25"/>
  <c r="D44" i="25"/>
  <c r="J43" i="25"/>
  <c r="G43" i="25" s="1"/>
  <c r="F43" i="25"/>
  <c r="E43" i="25"/>
  <c r="H43" i="25" s="1"/>
  <c r="D43" i="25"/>
  <c r="G39" i="25"/>
  <c r="C37" i="25"/>
  <c r="B37" i="25"/>
  <c r="D37" i="25" s="1"/>
  <c r="G36" i="25"/>
  <c r="D36" i="25"/>
  <c r="J35" i="25"/>
  <c r="G35" i="25" s="1"/>
  <c r="F35" i="25"/>
  <c r="E35" i="25"/>
  <c r="H35" i="25" s="1"/>
  <c r="D35" i="25"/>
  <c r="G31" i="25"/>
  <c r="C29" i="25"/>
  <c r="B29" i="25"/>
  <c r="D28" i="25"/>
  <c r="J27" i="25"/>
  <c r="G27" i="25" s="1"/>
  <c r="D27" i="25"/>
  <c r="G23" i="25"/>
  <c r="C21" i="25"/>
  <c r="B21" i="25"/>
  <c r="D21" i="25" s="1"/>
  <c r="D20" i="25"/>
  <c r="J19" i="25"/>
  <c r="D19" i="25"/>
  <c r="G15" i="25"/>
  <c r="G45" i="6"/>
  <c r="D45" i="6"/>
  <c r="C45" i="6"/>
  <c r="B45" i="6"/>
  <c r="D44" i="6"/>
  <c r="J43" i="6"/>
  <c r="G46" i="6" s="1"/>
  <c r="E43" i="6"/>
  <c r="D43" i="6"/>
  <c r="G39" i="6"/>
  <c r="G37" i="6"/>
  <c r="C37" i="6"/>
  <c r="B37" i="6"/>
  <c r="D37" i="6" s="1"/>
  <c r="D36" i="6"/>
  <c r="J35" i="6"/>
  <c r="G38" i="6" s="1"/>
  <c r="D35" i="6"/>
  <c r="G31" i="6"/>
  <c r="C29" i="6"/>
  <c r="B29" i="6"/>
  <c r="D29" i="6" s="1"/>
  <c r="D28" i="6"/>
  <c r="J27" i="6"/>
  <c r="D27" i="6"/>
  <c r="G23" i="6"/>
  <c r="C21" i="6"/>
  <c r="D21" i="6" s="1"/>
  <c r="B21" i="6"/>
  <c r="D20" i="6"/>
  <c r="J19" i="6"/>
  <c r="D19" i="6"/>
  <c r="G15" i="6"/>
  <c r="C13" i="25"/>
  <c r="B13" i="25"/>
  <c r="D12" i="25"/>
  <c r="J11" i="25"/>
  <c r="J60" i="25" s="1"/>
  <c r="F60" i="25" s="1"/>
  <c r="D11" i="25"/>
  <c r="G7" i="25"/>
  <c r="H1" i="25"/>
  <c r="C24" i="5"/>
  <c r="D10" i="5"/>
  <c r="C43" i="14"/>
  <c r="C37" i="14"/>
  <c r="C31" i="14"/>
  <c r="C25" i="14"/>
  <c r="C19" i="14"/>
  <c r="C13" i="14"/>
  <c r="C7" i="14"/>
  <c r="L44" i="14"/>
  <c r="L45" i="14" s="1"/>
  <c r="L38" i="14"/>
  <c r="L39" i="14" s="1"/>
  <c r="E38" i="14"/>
  <c r="L32" i="14"/>
  <c r="L33" i="14" s="1"/>
  <c r="L26" i="14"/>
  <c r="C27" i="14" s="1"/>
  <c r="L20" i="14"/>
  <c r="L21" i="14" s="1"/>
  <c r="L14" i="14"/>
  <c r="L15" i="14" s="1"/>
  <c r="J9" i="14"/>
  <c r="C9" i="14"/>
  <c r="H8" i="14"/>
  <c r="G8" i="14"/>
  <c r="I26" i="27" l="1"/>
  <c r="I29" i="27" s="1"/>
  <c r="I13" i="27"/>
  <c r="I16" i="27" s="1"/>
  <c r="E12" i="27"/>
  <c r="K14" i="27" s="1"/>
  <c r="F12" i="27"/>
  <c r="E19" i="25"/>
  <c r="H19" i="25" s="1"/>
  <c r="I19" i="25" s="1"/>
  <c r="F19" i="25"/>
  <c r="G20" i="25" s="1"/>
  <c r="J61" i="25"/>
  <c r="I43" i="25"/>
  <c r="I35" i="25"/>
  <c r="E27" i="25"/>
  <c r="H27" i="25" s="1"/>
  <c r="F27" i="25"/>
  <c r="D29" i="25"/>
  <c r="G28" i="25"/>
  <c r="E11" i="25"/>
  <c r="D13" i="25"/>
  <c r="F11" i="25"/>
  <c r="H11" i="25" s="1"/>
  <c r="G43" i="6"/>
  <c r="G44" i="6"/>
  <c r="E45" i="6"/>
  <c r="I45" i="6" s="1"/>
  <c r="F45" i="6"/>
  <c r="H45" i="6" s="1"/>
  <c r="E35" i="6"/>
  <c r="G35" i="6"/>
  <c r="G36" i="6"/>
  <c r="E37" i="6"/>
  <c r="I37" i="6" s="1"/>
  <c r="F37" i="6"/>
  <c r="H37" i="6" s="1"/>
  <c r="F29" i="6"/>
  <c r="H29" i="6" s="1"/>
  <c r="E27" i="6"/>
  <c r="E29" i="6" s="1"/>
  <c r="E19" i="6"/>
  <c r="E21" i="6" s="1"/>
  <c r="G21" i="6"/>
  <c r="G19" i="6" s="1"/>
  <c r="G22" i="6"/>
  <c r="G20" i="6" s="1"/>
  <c r="F21" i="6"/>
  <c r="H21" i="6" s="1"/>
  <c r="I21" i="6" s="1"/>
  <c r="C61" i="25"/>
  <c r="J49" i="25"/>
  <c r="B61" i="25"/>
  <c r="J62" i="25"/>
  <c r="B60" i="25"/>
  <c r="J45" i="14"/>
  <c r="K44" i="14"/>
  <c r="F45" i="14"/>
  <c r="E45" i="14"/>
  <c r="F44" i="14"/>
  <c r="G44" i="14"/>
  <c r="C45" i="14"/>
  <c r="E44" i="14"/>
  <c r="C44" i="14"/>
  <c r="H44" i="14"/>
  <c r="D45" i="14"/>
  <c r="K38" i="14"/>
  <c r="J39" i="14"/>
  <c r="F39" i="14"/>
  <c r="G38" i="14"/>
  <c r="C39" i="14"/>
  <c r="E39" i="14"/>
  <c r="F38" i="14"/>
  <c r="C38" i="14"/>
  <c r="H38" i="14"/>
  <c r="D39" i="14"/>
  <c r="J33" i="14"/>
  <c r="K32" i="14"/>
  <c r="C32" i="14"/>
  <c r="H32" i="14"/>
  <c r="D33" i="14"/>
  <c r="E32" i="14"/>
  <c r="E33" i="14"/>
  <c r="F32" i="14"/>
  <c r="F33" i="14"/>
  <c r="G32" i="14"/>
  <c r="C33" i="14"/>
  <c r="C26" i="14"/>
  <c r="H26" i="14"/>
  <c r="D27" i="14"/>
  <c r="L27" i="14"/>
  <c r="E26" i="14"/>
  <c r="E27" i="14"/>
  <c r="F26" i="14"/>
  <c r="F27" i="14"/>
  <c r="G26" i="14"/>
  <c r="J21" i="14"/>
  <c r="K20" i="14"/>
  <c r="H20" i="14"/>
  <c r="E20" i="14"/>
  <c r="E21" i="14"/>
  <c r="F20" i="14"/>
  <c r="F21" i="14"/>
  <c r="G20" i="14"/>
  <c r="C21" i="14"/>
  <c r="C20" i="14"/>
  <c r="D21" i="14"/>
  <c r="C14" i="14"/>
  <c r="H14" i="14"/>
  <c r="D15" i="14"/>
  <c r="E15" i="14"/>
  <c r="E14" i="14" s="1"/>
  <c r="G14" i="14"/>
  <c r="C15" i="14"/>
  <c r="J15" i="14" s="1"/>
  <c r="K14" i="14" s="1"/>
  <c r="C29" i="27" l="1"/>
  <c r="C16" i="27"/>
  <c r="F61" i="25"/>
  <c r="G19" i="25"/>
  <c r="F62" i="25"/>
  <c r="J74" i="25"/>
  <c r="H50" i="25"/>
  <c r="D50" i="25" s="1"/>
  <c r="I50" i="25"/>
  <c r="C50" i="25" s="1"/>
  <c r="G12" i="25"/>
  <c r="I27" i="25"/>
  <c r="G11" i="25"/>
  <c r="I29" i="6"/>
  <c r="G30" i="6"/>
  <c r="G28" i="6" s="1"/>
  <c r="G29" i="6"/>
  <c r="G27" i="6" s="1"/>
  <c r="D61" i="25"/>
  <c r="E61" i="25"/>
  <c r="C69" i="25"/>
  <c r="B69" i="25"/>
  <c r="B70" i="25"/>
  <c r="C70" i="25"/>
  <c r="J55" i="25"/>
  <c r="J64" i="25"/>
  <c r="C60" i="25"/>
  <c r="C62" i="25" s="1"/>
  <c r="J27" i="14"/>
  <c r="K26" i="14"/>
  <c r="F15" i="14"/>
  <c r="F14" i="14" s="1"/>
  <c r="C31" i="27" l="1"/>
  <c r="C18" i="27"/>
  <c r="E62" i="25"/>
  <c r="D62" i="25"/>
  <c r="E64" i="25"/>
  <c r="E51" i="25"/>
  <c r="E50" i="25"/>
  <c r="E55" i="25"/>
  <c r="D69" i="25"/>
  <c r="C71" i="25"/>
  <c r="I11" i="25"/>
  <c r="B71" i="25"/>
  <c r="D70" i="25"/>
  <c r="E69" i="25" s="1"/>
  <c r="G64" i="25"/>
  <c r="D60" i="25"/>
  <c r="E60" i="25"/>
  <c r="F69" i="25" l="1"/>
  <c r="G69" i="25" s="1"/>
  <c r="G70" i="25"/>
  <c r="E74" i="25"/>
  <c r="G55" i="25"/>
  <c r="D71" i="25"/>
  <c r="G74" i="25" l="1"/>
  <c r="C8" i="14" l="1"/>
  <c r="J44" i="23" l="1"/>
  <c r="K44" i="23" s="1"/>
  <c r="J43" i="23"/>
  <c r="J45" i="23" s="1"/>
  <c r="E45" i="23" s="1"/>
  <c r="J36" i="23"/>
  <c r="K36" i="23" s="1"/>
  <c r="J35" i="23"/>
  <c r="J37" i="23" s="1"/>
  <c r="E37" i="23" s="1"/>
  <c r="J28" i="23"/>
  <c r="K28" i="23" s="1"/>
  <c r="J27" i="23"/>
  <c r="J29" i="23" s="1"/>
  <c r="J20" i="23"/>
  <c r="K20" i="23" s="1"/>
  <c r="J19" i="23"/>
  <c r="J12" i="23"/>
  <c r="J11" i="23"/>
  <c r="E11" i="23" s="1"/>
  <c r="G7" i="23"/>
  <c r="J21" i="23" l="1"/>
  <c r="G44" i="23"/>
  <c r="F44" i="23"/>
  <c r="E43" i="23"/>
  <c r="K43" i="23"/>
  <c r="E44" i="23"/>
  <c r="G36" i="23"/>
  <c r="F36" i="23"/>
  <c r="E35" i="23"/>
  <c r="K35" i="23"/>
  <c r="E36" i="23"/>
  <c r="E27" i="23"/>
  <c r="E29" i="23" s="1"/>
  <c r="K27" i="23"/>
  <c r="E28" i="23"/>
  <c r="G28" i="23" s="1"/>
  <c r="E19" i="23"/>
  <c r="E21" i="23" s="1"/>
  <c r="K19" i="23"/>
  <c r="E20" i="23"/>
  <c r="G20" i="23" s="1"/>
  <c r="K11" i="23"/>
  <c r="F11" i="23" s="1"/>
  <c r="K12" i="23"/>
  <c r="F12" i="23" s="1"/>
  <c r="J13" i="23"/>
  <c r="E12" i="23"/>
  <c r="K51" i="22"/>
  <c r="K50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50" i="22" s="1"/>
  <c r="J22" i="22"/>
  <c r="J23" i="22"/>
  <c r="J24" i="22"/>
  <c r="J25" i="22"/>
  <c r="J26" i="22"/>
  <c r="J51" i="22" s="1"/>
  <c r="D51" i="22" s="1"/>
  <c r="J27" i="22"/>
  <c r="J28" i="22"/>
  <c r="J29" i="22"/>
  <c r="J30" i="22"/>
  <c r="J31" i="22"/>
  <c r="J32" i="22"/>
  <c r="J33" i="22"/>
  <c r="J8" i="22"/>
  <c r="P48" i="21"/>
  <c r="P47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N11" i="21"/>
  <c r="E11" i="21" s="1"/>
  <c r="N12" i="21"/>
  <c r="E12" i="21" s="1"/>
  <c r="O12" i="21"/>
  <c r="F12" i="21" s="1"/>
  <c r="N13" i="21"/>
  <c r="E13" i="21" s="1"/>
  <c r="O13" i="21"/>
  <c r="H13" i="21" s="1"/>
  <c r="N14" i="21"/>
  <c r="E14" i="21" s="1"/>
  <c r="N15" i="21"/>
  <c r="E15" i="21" s="1"/>
  <c r="O15" i="21"/>
  <c r="I15" i="21" s="1"/>
  <c r="N16" i="21"/>
  <c r="G16" i="21" s="1"/>
  <c r="N17" i="21"/>
  <c r="O17" i="21" s="1"/>
  <c r="H17" i="21" s="1"/>
  <c r="N18" i="21"/>
  <c r="E18" i="21" s="1"/>
  <c r="N19" i="21"/>
  <c r="E19" i="21" s="1"/>
  <c r="N20" i="21"/>
  <c r="G20" i="21" s="1"/>
  <c r="O20" i="21"/>
  <c r="F20" i="21" s="1"/>
  <c r="E21" i="21"/>
  <c r="N21" i="21"/>
  <c r="G21" i="21" s="1"/>
  <c r="O21" i="21"/>
  <c r="H21" i="21" s="1"/>
  <c r="N22" i="21"/>
  <c r="E22" i="21" s="1"/>
  <c r="N23" i="21"/>
  <c r="E23" i="21" s="1"/>
  <c r="O23" i="21"/>
  <c r="I23" i="21" s="1"/>
  <c r="N24" i="21"/>
  <c r="G24" i="21" s="1"/>
  <c r="N25" i="21"/>
  <c r="E25" i="21" s="1"/>
  <c r="N26" i="21"/>
  <c r="E26" i="21" s="1"/>
  <c r="N27" i="21"/>
  <c r="E27" i="21" s="1"/>
  <c r="N28" i="21"/>
  <c r="G28" i="21" s="1"/>
  <c r="O28" i="21"/>
  <c r="F28" i="21" s="1"/>
  <c r="N29" i="21"/>
  <c r="E29" i="21" s="1"/>
  <c r="O29" i="21"/>
  <c r="H29" i="21" s="1"/>
  <c r="N30" i="21"/>
  <c r="E30" i="21" s="1"/>
  <c r="N31" i="21"/>
  <c r="E31" i="21" s="1"/>
  <c r="O31" i="21"/>
  <c r="I31" i="21" s="1"/>
  <c r="N32" i="21"/>
  <c r="G32" i="21" s="1"/>
  <c r="O32" i="21"/>
  <c r="F32" i="21" s="1"/>
  <c r="N10" i="21"/>
  <c r="E10" i="21" s="1"/>
  <c r="K45" i="23" l="1"/>
  <c r="G43" i="23"/>
  <c r="F43" i="23"/>
  <c r="K37" i="23"/>
  <c r="G35" i="23"/>
  <c r="F35" i="23"/>
  <c r="F28" i="23"/>
  <c r="K29" i="23"/>
  <c r="G27" i="23"/>
  <c r="F27" i="23"/>
  <c r="F20" i="23"/>
  <c r="K21" i="23"/>
  <c r="K59" i="23" s="1"/>
  <c r="G19" i="23"/>
  <c r="F19" i="23"/>
  <c r="E13" i="23"/>
  <c r="G11" i="23"/>
  <c r="K13" i="23"/>
  <c r="K58" i="23" s="1"/>
  <c r="G12" i="23"/>
  <c r="D50" i="22"/>
  <c r="C50" i="22"/>
  <c r="C51" i="22"/>
  <c r="J52" i="22"/>
  <c r="J55" i="22" s="1"/>
  <c r="B51" i="22"/>
  <c r="B50" i="22"/>
  <c r="J39" i="22"/>
  <c r="G27" i="21"/>
  <c r="G19" i="21"/>
  <c r="G17" i="21"/>
  <c r="G31" i="21"/>
  <c r="G29" i="21"/>
  <c r="H28" i="21"/>
  <c r="G25" i="21"/>
  <c r="E17" i="21"/>
  <c r="G13" i="21"/>
  <c r="G12" i="21"/>
  <c r="H32" i="21"/>
  <c r="O27" i="21"/>
  <c r="I27" i="21" s="1"/>
  <c r="O25" i="21"/>
  <c r="G23" i="21"/>
  <c r="O19" i="21"/>
  <c r="I19" i="21" s="1"/>
  <c r="O16" i="21"/>
  <c r="F16" i="21" s="1"/>
  <c r="I21" i="21"/>
  <c r="H20" i="21"/>
  <c r="I29" i="21"/>
  <c r="O10" i="21"/>
  <c r="O47" i="21" s="1"/>
  <c r="O11" i="21"/>
  <c r="O48" i="21" s="1"/>
  <c r="D48" i="21" s="1"/>
  <c r="N33" i="21"/>
  <c r="I32" i="21"/>
  <c r="E32" i="21"/>
  <c r="H31" i="21"/>
  <c r="O30" i="21"/>
  <c r="G30" i="21"/>
  <c r="F29" i="21"/>
  <c r="I28" i="21"/>
  <c r="E28" i="21"/>
  <c r="O26" i="21"/>
  <c r="G26" i="21"/>
  <c r="F25" i="21"/>
  <c r="E24" i="21"/>
  <c r="H23" i="21"/>
  <c r="O22" i="21"/>
  <c r="G22" i="21"/>
  <c r="F21" i="21"/>
  <c r="I20" i="21"/>
  <c r="E20" i="21"/>
  <c r="O18" i="21"/>
  <c r="G18" i="21"/>
  <c r="F17" i="21"/>
  <c r="E16" i="21"/>
  <c r="H15" i="21"/>
  <c r="O14" i="21"/>
  <c r="G14" i="21"/>
  <c r="F13" i="21"/>
  <c r="I12" i="21"/>
  <c r="I17" i="21"/>
  <c r="G15" i="21"/>
  <c r="I13" i="21"/>
  <c r="H12" i="21"/>
  <c r="F31" i="21"/>
  <c r="F27" i="21"/>
  <c r="O24" i="21"/>
  <c r="F23" i="21"/>
  <c r="F19" i="21"/>
  <c r="F15" i="21"/>
  <c r="B58" i="23" l="1"/>
  <c r="D58" i="23"/>
  <c r="B59" i="23"/>
  <c r="D59" i="23"/>
  <c r="K60" i="23"/>
  <c r="K49" i="23"/>
  <c r="K53" i="23" s="1"/>
  <c r="G45" i="23"/>
  <c r="F45" i="23"/>
  <c r="I45" i="23"/>
  <c r="H45" i="23"/>
  <c r="C45" i="23"/>
  <c r="G37" i="23"/>
  <c r="F37" i="23"/>
  <c r="I37" i="23"/>
  <c r="H37" i="23"/>
  <c r="C37" i="23"/>
  <c r="F29" i="23"/>
  <c r="H29" i="23"/>
  <c r="I29" i="23" s="1"/>
  <c r="C29" i="23"/>
  <c r="G29" i="23" s="1"/>
  <c r="H21" i="23"/>
  <c r="C21" i="23"/>
  <c r="G21" i="23" s="1"/>
  <c r="F59" i="23" s="1"/>
  <c r="C13" i="23"/>
  <c r="G13" i="23" s="1"/>
  <c r="F58" i="23" s="1"/>
  <c r="H13" i="23"/>
  <c r="D52" i="22"/>
  <c r="C52" i="22"/>
  <c r="C53" i="22" s="1"/>
  <c r="J42" i="22"/>
  <c r="C43" i="22" s="1"/>
  <c r="F11" i="21"/>
  <c r="H11" i="21"/>
  <c r="C48" i="21"/>
  <c r="B48" i="21"/>
  <c r="D47" i="21"/>
  <c r="O49" i="21"/>
  <c r="C47" i="21"/>
  <c r="B47" i="21"/>
  <c r="I11" i="21"/>
  <c r="P11" i="21"/>
  <c r="H10" i="21"/>
  <c r="O37" i="21"/>
  <c r="P10" i="21"/>
  <c r="L10" i="21" s="1"/>
  <c r="H16" i="21"/>
  <c r="I16" i="21"/>
  <c r="H19" i="21"/>
  <c r="H27" i="21"/>
  <c r="H25" i="21"/>
  <c r="I25" i="21"/>
  <c r="E33" i="21"/>
  <c r="F10" i="21"/>
  <c r="O33" i="21"/>
  <c r="I10" i="21"/>
  <c r="H18" i="21"/>
  <c r="I18" i="21"/>
  <c r="F18" i="21"/>
  <c r="H30" i="21"/>
  <c r="I30" i="21"/>
  <c r="F30" i="21"/>
  <c r="F24" i="21"/>
  <c r="H24" i="21"/>
  <c r="I24" i="21"/>
  <c r="H14" i="21"/>
  <c r="I14" i="21"/>
  <c r="F14" i="21"/>
  <c r="H22" i="21"/>
  <c r="I22" i="21"/>
  <c r="F22" i="21"/>
  <c r="H26" i="21"/>
  <c r="I26" i="21"/>
  <c r="F26" i="21"/>
  <c r="C58" i="23" l="1"/>
  <c r="D60" i="23"/>
  <c r="C59" i="23"/>
  <c r="K62" i="23"/>
  <c r="I21" i="23"/>
  <c r="H50" i="23"/>
  <c r="D50" i="23" s="1"/>
  <c r="F21" i="23"/>
  <c r="E59" i="23" s="1"/>
  <c r="I13" i="23"/>
  <c r="I50" i="23" s="1"/>
  <c r="F13" i="23"/>
  <c r="E58" i="23" s="1"/>
  <c r="E55" i="22"/>
  <c r="G55" i="22" s="1"/>
  <c r="F52" i="22"/>
  <c r="F53" i="22" s="1"/>
  <c r="E52" i="22"/>
  <c r="E53" i="22" s="1"/>
  <c r="D49" i="21"/>
  <c r="C49" i="21"/>
  <c r="O52" i="21"/>
  <c r="O40" i="21"/>
  <c r="C41" i="21" s="1"/>
  <c r="D37" i="21"/>
  <c r="K11" i="21"/>
  <c r="L11" i="21" s="1"/>
  <c r="K10" i="21"/>
  <c r="G33" i="21"/>
  <c r="F33" i="21"/>
  <c r="C37" i="21" s="1"/>
  <c r="C60" i="23" l="1"/>
  <c r="F60" i="23" s="1"/>
  <c r="C50" i="23"/>
  <c r="E53" i="23" s="1"/>
  <c r="G53" i="23" s="1"/>
  <c r="E60" i="23"/>
  <c r="F49" i="21"/>
  <c r="F50" i="21" s="1"/>
  <c r="E49" i="21"/>
  <c r="E50" i="21" s="1"/>
  <c r="C50" i="21"/>
  <c r="E52" i="21"/>
  <c r="G52" i="21" s="1"/>
  <c r="E37" i="21"/>
  <c r="E38" i="21" s="1"/>
  <c r="C38" i="21"/>
  <c r="F37" i="21"/>
  <c r="F38" i="21" s="1"/>
  <c r="E40" i="21"/>
  <c r="G40" i="21" s="1"/>
  <c r="E62" i="23" l="1"/>
  <c r="G62" i="23" s="1"/>
  <c r="E51" i="23"/>
  <c r="E50" i="23"/>
  <c r="E71" i="7"/>
  <c r="C48" i="7" l="1"/>
  <c r="B48" i="7"/>
  <c r="K47" i="7"/>
  <c r="E47" i="7"/>
  <c r="D47" i="7"/>
  <c r="K46" i="7"/>
  <c r="K48" i="7" s="1"/>
  <c r="E45" i="7"/>
  <c r="C40" i="7"/>
  <c r="B40" i="7"/>
  <c r="K39" i="7"/>
  <c r="E39" i="7"/>
  <c r="D39" i="7"/>
  <c r="K38" i="7"/>
  <c r="K40" i="7" s="1"/>
  <c r="E38" i="7"/>
  <c r="D38" i="7"/>
  <c r="E37" i="7"/>
  <c r="C32" i="7"/>
  <c r="B32" i="7"/>
  <c r="K31" i="7"/>
  <c r="E31" i="7"/>
  <c r="D31" i="7"/>
  <c r="K30" i="7"/>
  <c r="K32" i="7" s="1"/>
  <c r="E30" i="7"/>
  <c r="E29" i="7"/>
  <c r="C24" i="7"/>
  <c r="B24" i="7"/>
  <c r="K23" i="7"/>
  <c r="E23" i="7"/>
  <c r="D23" i="7"/>
  <c r="K22" i="7"/>
  <c r="E21" i="7"/>
  <c r="K15" i="7"/>
  <c r="K14" i="7"/>
  <c r="D14" i="7" s="1"/>
  <c r="J61" i="6"/>
  <c r="B61" i="6" s="1"/>
  <c r="J11" i="6"/>
  <c r="C45" i="3"/>
  <c r="B45" i="3"/>
  <c r="D45" i="3" s="1"/>
  <c r="D44" i="3"/>
  <c r="D43" i="3"/>
  <c r="C37" i="3"/>
  <c r="B37" i="3"/>
  <c r="D36" i="3"/>
  <c r="D35" i="3"/>
  <c r="C29" i="3"/>
  <c r="D29" i="3" s="1"/>
  <c r="B29" i="3"/>
  <c r="D28" i="3"/>
  <c r="D27" i="3"/>
  <c r="C21" i="3"/>
  <c r="B21" i="3"/>
  <c r="D20" i="3"/>
  <c r="D19" i="3"/>
  <c r="J43" i="3"/>
  <c r="E43" i="3" s="1"/>
  <c r="E45" i="3" s="1"/>
  <c r="J35" i="3"/>
  <c r="J27" i="3"/>
  <c r="J19" i="3"/>
  <c r="J11" i="3"/>
  <c r="G42" i="7"/>
  <c r="G34" i="7"/>
  <c r="G26" i="7"/>
  <c r="E13" i="7"/>
  <c r="J60" i="6" l="1"/>
  <c r="B60" i="6" s="1"/>
  <c r="J60" i="3"/>
  <c r="B60" i="3" s="1"/>
  <c r="E11" i="3"/>
  <c r="J61" i="3"/>
  <c r="B61" i="3" s="1"/>
  <c r="D30" i="7"/>
  <c r="K24" i="7"/>
  <c r="D22" i="7"/>
  <c r="E22" i="7"/>
  <c r="E46" i="7"/>
  <c r="D46" i="7"/>
  <c r="D48" i="7"/>
  <c r="G48" i="7"/>
  <c r="I48" i="7" s="1"/>
  <c r="E48" i="7"/>
  <c r="F48" i="7"/>
  <c r="H49" i="7" s="1"/>
  <c r="H47" i="7" s="1"/>
  <c r="F46" i="7"/>
  <c r="D40" i="7"/>
  <c r="F38" i="7"/>
  <c r="F40" i="7" s="1"/>
  <c r="G40" i="7"/>
  <c r="I40" i="7" s="1"/>
  <c r="E40" i="7"/>
  <c r="D32" i="7"/>
  <c r="E32" i="7"/>
  <c r="G32" i="7"/>
  <c r="I32" i="7"/>
  <c r="F32" i="7"/>
  <c r="H33" i="7" s="1"/>
  <c r="H31" i="7" s="1"/>
  <c r="F30" i="7"/>
  <c r="E14" i="7"/>
  <c r="K16" i="7"/>
  <c r="K63" i="7" s="1"/>
  <c r="J49" i="6"/>
  <c r="J49" i="3"/>
  <c r="D21" i="3"/>
  <c r="D37" i="3"/>
  <c r="G45" i="3"/>
  <c r="G43" i="3" s="1"/>
  <c r="H45" i="3"/>
  <c r="I45" i="3" s="1"/>
  <c r="F45" i="3"/>
  <c r="G46" i="3" s="1"/>
  <c r="G44" i="3" s="1"/>
  <c r="H37" i="3"/>
  <c r="E35" i="3"/>
  <c r="E37" i="3" s="1"/>
  <c r="F37" i="3"/>
  <c r="E27" i="3"/>
  <c r="E29" i="3" s="1"/>
  <c r="F29" i="3"/>
  <c r="H29" i="3" s="1"/>
  <c r="E19" i="3"/>
  <c r="F21" i="3"/>
  <c r="H21" i="3" s="1"/>
  <c r="F13" i="3"/>
  <c r="H13" i="3" s="1"/>
  <c r="E13" i="3"/>
  <c r="C60" i="3" l="1"/>
  <c r="J62" i="6"/>
  <c r="J64" i="6" s="1"/>
  <c r="B63" i="7"/>
  <c r="K52" i="7"/>
  <c r="G24" i="7"/>
  <c r="I24" i="7" s="1"/>
  <c r="K64" i="7"/>
  <c r="K65" i="7" s="1"/>
  <c r="K67" i="7" s="1"/>
  <c r="F22" i="7"/>
  <c r="E24" i="7"/>
  <c r="D24" i="7"/>
  <c r="H48" i="7"/>
  <c r="H46" i="7" s="1"/>
  <c r="J48" i="7"/>
  <c r="H41" i="7"/>
  <c r="H39" i="7" s="1"/>
  <c r="J40" i="7"/>
  <c r="H40" i="7"/>
  <c r="H38" i="7" s="1"/>
  <c r="H32" i="7"/>
  <c r="H30" i="7" s="1"/>
  <c r="J32" i="7"/>
  <c r="G16" i="7"/>
  <c r="F63" i="7" s="1"/>
  <c r="C69" i="6"/>
  <c r="J55" i="6"/>
  <c r="B69" i="6"/>
  <c r="C70" i="6"/>
  <c r="J74" i="6"/>
  <c r="B70" i="6"/>
  <c r="J55" i="3"/>
  <c r="J74" i="3"/>
  <c r="C70" i="3"/>
  <c r="C69" i="3"/>
  <c r="B69" i="3"/>
  <c r="B70" i="3"/>
  <c r="F61" i="3"/>
  <c r="J62" i="3"/>
  <c r="C61" i="3"/>
  <c r="F60" i="3"/>
  <c r="H52" i="3"/>
  <c r="D52" i="3" s="1"/>
  <c r="I13" i="3"/>
  <c r="G14" i="3"/>
  <c r="G12" i="3" s="1"/>
  <c r="E61" i="3" s="1"/>
  <c r="G38" i="3"/>
  <c r="G36" i="3" s="1"/>
  <c r="I37" i="3"/>
  <c r="G37" i="3"/>
  <c r="G35" i="3" s="1"/>
  <c r="G30" i="3"/>
  <c r="G28" i="3" s="1"/>
  <c r="G29" i="3"/>
  <c r="G27" i="3" s="1"/>
  <c r="I29" i="3"/>
  <c r="E21" i="3"/>
  <c r="G13" i="3"/>
  <c r="G11" i="3" s="1"/>
  <c r="D61" i="3" s="1"/>
  <c r="C71" i="3" l="1"/>
  <c r="D70" i="3"/>
  <c r="K58" i="7"/>
  <c r="B73" i="7"/>
  <c r="C73" i="7"/>
  <c r="C72" i="7"/>
  <c r="B72" i="7"/>
  <c r="B64" i="7"/>
  <c r="C64" i="7"/>
  <c r="F64" i="7"/>
  <c r="F65" i="7" s="1"/>
  <c r="F24" i="7"/>
  <c r="H25" i="7" s="1"/>
  <c r="H23" i="7" s="1"/>
  <c r="E64" i="7" s="1"/>
  <c r="I16" i="7"/>
  <c r="D70" i="6"/>
  <c r="C71" i="6"/>
  <c r="B71" i="6"/>
  <c r="D69" i="6"/>
  <c r="E69" i="3"/>
  <c r="E71" i="3" s="1"/>
  <c r="C62" i="3"/>
  <c r="D69" i="3"/>
  <c r="F71" i="3"/>
  <c r="B71" i="3"/>
  <c r="D71" i="3" s="1"/>
  <c r="F62" i="3"/>
  <c r="D62" i="3" s="1"/>
  <c r="J64" i="3"/>
  <c r="G22" i="3"/>
  <c r="G20" i="3" s="1"/>
  <c r="E60" i="3" s="1"/>
  <c r="I21" i="3"/>
  <c r="I52" i="3" s="1"/>
  <c r="C52" i="3" s="1"/>
  <c r="G21" i="3"/>
  <c r="G19" i="3" s="1"/>
  <c r="D60" i="3" s="1"/>
  <c r="E69" i="6" l="1"/>
  <c r="E71" i="6" s="1"/>
  <c r="D71" i="6"/>
  <c r="C74" i="7"/>
  <c r="E62" i="3"/>
  <c r="E64" i="3"/>
  <c r="G64" i="3" s="1"/>
  <c r="G72" i="3"/>
  <c r="G70" i="3" s="1"/>
  <c r="K73" i="7"/>
  <c r="K72" i="7"/>
  <c r="B74" i="7"/>
  <c r="H24" i="7"/>
  <c r="H22" i="7" s="1"/>
  <c r="D64" i="7" s="1"/>
  <c r="J24" i="7"/>
  <c r="F71" i="6"/>
  <c r="E74" i="6" s="1"/>
  <c r="G74" i="6" s="1"/>
  <c r="G71" i="3"/>
  <c r="G69" i="3" s="1"/>
  <c r="E74" i="3"/>
  <c r="G74" i="3" s="1"/>
  <c r="E55" i="3"/>
  <c r="G55" i="3" s="1"/>
  <c r="E53" i="3"/>
  <c r="E51" i="3" s="1"/>
  <c r="C50" i="3"/>
  <c r="E52" i="3"/>
  <c r="E50" i="3" s="1"/>
  <c r="K74" i="7" l="1"/>
  <c r="K77" i="7" s="1"/>
  <c r="E72" i="7"/>
  <c r="D72" i="7"/>
  <c r="E74" i="7"/>
  <c r="E73" i="7"/>
  <c r="D73" i="7"/>
  <c r="G71" i="6"/>
  <c r="G69" i="6" s="1"/>
  <c r="G72" i="6"/>
  <c r="G70" i="6" s="1"/>
  <c r="D74" i="7" l="1"/>
  <c r="G74" i="7"/>
  <c r="F72" i="7"/>
  <c r="F74" i="7" s="1"/>
  <c r="G18" i="7"/>
  <c r="E15" i="7"/>
  <c r="D15" i="7"/>
  <c r="F14" i="7" s="1"/>
  <c r="C16" i="7"/>
  <c r="B16" i="7"/>
  <c r="I55" i="7" s="1"/>
  <c r="E77" i="7" l="1"/>
  <c r="G77" i="7" s="1"/>
  <c r="H74" i="7"/>
  <c r="H72" i="7" s="1"/>
  <c r="H75" i="7"/>
  <c r="H73" i="7" s="1"/>
  <c r="F16" i="7"/>
  <c r="J16" i="7" s="1"/>
  <c r="J55" i="7" s="1"/>
  <c r="C55" i="7" s="1"/>
  <c r="C63" i="7"/>
  <c r="C65" i="7" s="1"/>
  <c r="E16" i="7"/>
  <c r="D55" i="7"/>
  <c r="D16" i="7"/>
  <c r="H17" i="7" l="1"/>
  <c r="H15" i="7" s="1"/>
  <c r="E63" i="7" s="1"/>
  <c r="E58" i="7"/>
  <c r="G58" i="7" s="1"/>
  <c r="H16" i="7"/>
  <c r="H14" i="7" s="1"/>
  <c r="D63" i="7" s="1"/>
  <c r="D65" i="7"/>
  <c r="E65" i="7"/>
  <c r="E67" i="7"/>
  <c r="G67" i="7" s="1"/>
  <c r="C53" i="7"/>
  <c r="E55" i="7"/>
  <c r="E53" i="7" s="1"/>
  <c r="E56" i="7"/>
  <c r="E54" i="7" s="1"/>
  <c r="K12" i="9" l="1"/>
  <c r="K11" i="9"/>
  <c r="J12" i="9"/>
  <c r="C24" i="9" s="1"/>
  <c r="J11" i="9"/>
  <c r="C23" i="9" s="1"/>
  <c r="B23" i="9" l="1"/>
  <c r="B24" i="9"/>
  <c r="L11" i="9"/>
  <c r="L12" i="9"/>
  <c r="J17" i="9"/>
  <c r="B28" i="9" s="1"/>
  <c r="E12" i="9"/>
  <c r="K17" i="9"/>
  <c r="E11" i="9"/>
  <c r="N12" i="5"/>
  <c r="N11" i="5"/>
  <c r="D28" i="9" l="1"/>
  <c r="B17" i="9"/>
  <c r="C17" i="9"/>
  <c r="I12" i="5"/>
  <c r="D12" i="5"/>
  <c r="H12" i="5"/>
  <c r="D15" i="5"/>
  <c r="H11" i="5"/>
  <c r="D14" i="5"/>
  <c r="I11" i="5"/>
  <c r="D11" i="5"/>
  <c r="K23" i="9"/>
  <c r="J23" i="9"/>
  <c r="G11" i="9"/>
  <c r="F11" i="9"/>
  <c r="B13" i="9"/>
  <c r="L17" i="9"/>
  <c r="G12" i="9"/>
  <c r="F12" i="9"/>
  <c r="E15" i="5"/>
  <c r="E14" i="5"/>
  <c r="N21" i="5"/>
  <c r="D26" i="5" s="1"/>
  <c r="L10" i="2"/>
  <c r="J10" i="2" s="1"/>
  <c r="L9" i="2"/>
  <c r="I9" i="2" s="1"/>
  <c r="L8" i="14"/>
  <c r="O44" i="19"/>
  <c r="N44" i="19"/>
  <c r="O38" i="19"/>
  <c r="N38" i="19"/>
  <c r="O32" i="19"/>
  <c r="N32" i="19"/>
  <c r="O26" i="19"/>
  <c r="N26" i="19"/>
  <c r="O20" i="19"/>
  <c r="N20" i="19"/>
  <c r="O14" i="19"/>
  <c r="N14" i="19"/>
  <c r="V36" i="20"/>
  <c r="P37" i="20" s="1"/>
  <c r="V24" i="20"/>
  <c r="P25" i="20" s="1"/>
  <c r="U6" i="20"/>
  <c r="O8" i="19"/>
  <c r="O10" i="19" s="1"/>
  <c r="T42" i="20"/>
  <c r="D43" i="20" s="1"/>
  <c r="T36" i="20"/>
  <c r="D37" i="20" s="1"/>
  <c r="T30" i="20"/>
  <c r="D31" i="20" s="1"/>
  <c r="T24" i="20"/>
  <c r="T25" i="20" s="1"/>
  <c r="T18" i="20"/>
  <c r="T19" i="20" s="1"/>
  <c r="E19" i="20" s="1"/>
  <c r="T12" i="20"/>
  <c r="D13" i="20" s="1"/>
  <c r="T6" i="20"/>
  <c r="T7" i="20" s="1"/>
  <c r="U42" i="20"/>
  <c r="V42" i="20" s="1"/>
  <c r="P43" i="20" s="1"/>
  <c r="U36" i="20"/>
  <c r="U30" i="20"/>
  <c r="V30" i="20" s="1"/>
  <c r="P31" i="20" s="1"/>
  <c r="U24" i="20"/>
  <c r="U18" i="20"/>
  <c r="V18" i="20" s="1"/>
  <c r="P19" i="20" s="1"/>
  <c r="U12" i="20"/>
  <c r="V12" i="20" s="1"/>
  <c r="B49" i="9" l="1"/>
  <c r="C49" i="9"/>
  <c r="B39" i="9"/>
  <c r="E28" i="9"/>
  <c r="M17" i="9"/>
  <c r="G17" i="9" s="1"/>
  <c r="H17" i="9" s="1"/>
  <c r="E17" i="9"/>
  <c r="D17" i="9"/>
  <c r="G14" i="5"/>
  <c r="G11" i="5" s="1"/>
  <c r="K10" i="19"/>
  <c r="L9" i="19"/>
  <c r="H49" i="9"/>
  <c r="D45" i="9"/>
  <c r="C44" i="9"/>
  <c r="D44" i="9"/>
  <c r="B34" i="9"/>
  <c r="B44" i="9"/>
  <c r="C45" i="9"/>
  <c r="E33" i="9"/>
  <c r="E44" i="9" s="1"/>
  <c r="B35" i="9"/>
  <c r="H39" i="9" s="1"/>
  <c r="J33" i="9" s="1"/>
  <c r="B33" i="9"/>
  <c r="E34" i="9"/>
  <c r="E45" i="9" s="1"/>
  <c r="C33" i="9"/>
  <c r="D35" i="9"/>
  <c r="D34" i="9"/>
  <c r="C34" i="9"/>
  <c r="D33" i="9"/>
  <c r="C13" i="9"/>
  <c r="C35" i="9" s="1"/>
  <c r="O46" i="19"/>
  <c r="D46" i="19"/>
  <c r="G45" i="19"/>
  <c r="F44" i="19"/>
  <c r="G46" i="19"/>
  <c r="F45" i="19"/>
  <c r="I44" i="19"/>
  <c r="E44" i="19"/>
  <c r="H45" i="19"/>
  <c r="G44" i="19"/>
  <c r="F46" i="19"/>
  <c r="I45" i="19"/>
  <c r="D45" i="19"/>
  <c r="H44" i="19"/>
  <c r="D44" i="19"/>
  <c r="E46" i="19"/>
  <c r="O40" i="19"/>
  <c r="D40" i="19"/>
  <c r="G39" i="19"/>
  <c r="F38" i="19"/>
  <c r="I39" i="19"/>
  <c r="H38" i="19"/>
  <c r="H39" i="19"/>
  <c r="G38" i="19"/>
  <c r="G40" i="19"/>
  <c r="F39" i="19"/>
  <c r="I38" i="19"/>
  <c r="E38" i="19"/>
  <c r="F40" i="19"/>
  <c r="D39" i="19"/>
  <c r="D38" i="19"/>
  <c r="E40" i="19"/>
  <c r="O34" i="19"/>
  <c r="D34" i="19"/>
  <c r="G33" i="19"/>
  <c r="F32" i="19"/>
  <c r="F34" i="19"/>
  <c r="D33" i="19"/>
  <c r="D32" i="19"/>
  <c r="H33" i="19"/>
  <c r="G34" i="19"/>
  <c r="F33" i="19"/>
  <c r="I32" i="19"/>
  <c r="E32" i="19"/>
  <c r="I33" i="19"/>
  <c r="H32" i="19"/>
  <c r="E34" i="19"/>
  <c r="G32" i="19"/>
  <c r="O28" i="19"/>
  <c r="D28" i="19"/>
  <c r="G27" i="19"/>
  <c r="F26" i="19"/>
  <c r="F27" i="19"/>
  <c r="E26" i="19"/>
  <c r="F28" i="19"/>
  <c r="I27" i="19"/>
  <c r="H26" i="19"/>
  <c r="H27" i="19"/>
  <c r="G26" i="19"/>
  <c r="G28" i="19"/>
  <c r="I26" i="19"/>
  <c r="D27" i="19"/>
  <c r="D26" i="19"/>
  <c r="E28" i="19"/>
  <c r="O22" i="19"/>
  <c r="I20" i="19"/>
  <c r="I21" i="19" s="1"/>
  <c r="E20" i="19"/>
  <c r="F20" i="19" s="1"/>
  <c r="D21" i="19"/>
  <c r="D22" i="19" s="1"/>
  <c r="H20" i="19"/>
  <c r="D20" i="19"/>
  <c r="G20" i="19" s="1"/>
  <c r="E22" i="19"/>
  <c r="H21" i="19"/>
  <c r="O16" i="19"/>
  <c r="I14" i="19"/>
  <c r="I15" i="19" s="1"/>
  <c r="H14" i="19"/>
  <c r="H15" i="19" s="1"/>
  <c r="D14" i="19"/>
  <c r="E16" i="19"/>
  <c r="G15" i="5"/>
  <c r="G12" i="5" s="1"/>
  <c r="F15" i="5"/>
  <c r="F12" i="5" s="1"/>
  <c r="N26" i="5"/>
  <c r="F14" i="5"/>
  <c r="F11" i="5" s="1"/>
  <c r="C26" i="5"/>
  <c r="C21" i="5"/>
  <c r="C22" i="5" s="1"/>
  <c r="N22" i="5"/>
  <c r="D22" i="5"/>
  <c r="I10" i="2"/>
  <c r="M9" i="2"/>
  <c r="J9" i="2"/>
  <c r="L9" i="14"/>
  <c r="D9" i="14"/>
  <c r="O45" i="19"/>
  <c r="O39" i="19"/>
  <c r="O33" i="19"/>
  <c r="O27" i="19"/>
  <c r="O21" i="19"/>
  <c r="O15" i="19"/>
  <c r="O9" i="19"/>
  <c r="T31" i="20"/>
  <c r="U31" i="20" s="1"/>
  <c r="U32" i="20" s="1"/>
  <c r="J43" i="20"/>
  <c r="K43" i="20"/>
  <c r="J37" i="20"/>
  <c r="J31" i="20"/>
  <c r="N31" i="20"/>
  <c r="F25" i="20"/>
  <c r="E26" i="20"/>
  <c r="F26" i="20"/>
  <c r="D25" i="20"/>
  <c r="E25" i="20"/>
  <c r="J25" i="20"/>
  <c r="N25" i="20"/>
  <c r="E20" i="20"/>
  <c r="D19" i="20"/>
  <c r="F19" i="20" s="1"/>
  <c r="F20" i="20"/>
  <c r="J19" i="20"/>
  <c r="N19" i="20"/>
  <c r="J13" i="20"/>
  <c r="W12" i="20" s="1"/>
  <c r="P13" i="20" s="1"/>
  <c r="V6" i="20"/>
  <c r="D8" i="19"/>
  <c r="E8" i="19" s="1"/>
  <c r="G8" i="19" s="1"/>
  <c r="T43" i="20"/>
  <c r="U25" i="20"/>
  <c r="T20" i="20"/>
  <c r="U19" i="20"/>
  <c r="T13" i="20"/>
  <c r="T37" i="20"/>
  <c r="T26" i="20"/>
  <c r="J7" i="20"/>
  <c r="W6" i="20" s="1"/>
  <c r="E8" i="20"/>
  <c r="D7" i="20"/>
  <c r="F7" i="20" s="1"/>
  <c r="U7" i="20"/>
  <c r="E7" i="20"/>
  <c r="T8" i="20"/>
  <c r="G49" i="9" l="1"/>
  <c r="I49" i="9" s="1"/>
  <c r="N14" i="20"/>
  <c r="K13" i="20"/>
  <c r="N13" i="20"/>
  <c r="P7" i="20"/>
  <c r="C39" i="9"/>
  <c r="G39" i="9" s="1"/>
  <c r="I39" i="9" s="1"/>
  <c r="F26" i="5"/>
  <c r="E26" i="5"/>
  <c r="H26" i="5"/>
  <c r="I26" i="5" s="1"/>
  <c r="F32" i="20"/>
  <c r="T32" i="20"/>
  <c r="E31" i="20"/>
  <c r="F31" i="20"/>
  <c r="E32" i="20"/>
  <c r="K8" i="14"/>
  <c r="G22" i="19"/>
  <c r="G21" i="19" s="1"/>
  <c r="F22" i="19"/>
  <c r="F21" i="19" s="1"/>
  <c r="K44" i="19"/>
  <c r="L44" i="19"/>
  <c r="K46" i="19"/>
  <c r="L45" i="19"/>
  <c r="K38" i="19"/>
  <c r="L38" i="19"/>
  <c r="K40" i="19"/>
  <c r="L39" i="19"/>
  <c r="K32" i="19"/>
  <c r="L32" i="19"/>
  <c r="K34" i="19"/>
  <c r="L33" i="19"/>
  <c r="K26" i="19"/>
  <c r="L26" i="19"/>
  <c r="K28" i="19"/>
  <c r="L27" i="19"/>
  <c r="K20" i="19"/>
  <c r="L20" i="19"/>
  <c r="K22" i="19"/>
  <c r="L21" i="19"/>
  <c r="E14" i="19"/>
  <c r="G14" i="19" s="1"/>
  <c r="F14" i="19"/>
  <c r="D15" i="19"/>
  <c r="D16" i="19" s="1"/>
  <c r="K14" i="19"/>
  <c r="L14" i="19"/>
  <c r="E22" i="5"/>
  <c r="E21" i="5" s="1"/>
  <c r="F22" i="5"/>
  <c r="F21" i="5" s="1"/>
  <c r="G22" i="5"/>
  <c r="H22" i="5" s="1"/>
  <c r="I21" i="5" s="1"/>
  <c r="C26" i="2"/>
  <c r="B25" i="2"/>
  <c r="B26" i="2" s="1"/>
  <c r="M25" i="2"/>
  <c r="M20" i="2"/>
  <c r="M16" i="2"/>
  <c r="E9" i="14"/>
  <c r="E8" i="14" s="1"/>
  <c r="F9" i="14"/>
  <c r="F8" i="14" s="1"/>
  <c r="K8" i="19"/>
  <c r="L8" i="19" s="1"/>
  <c r="D9" i="19"/>
  <c r="D10" i="19" s="1"/>
  <c r="N44" i="20"/>
  <c r="N32" i="20"/>
  <c r="N26" i="20"/>
  <c r="N20" i="20"/>
  <c r="U43" i="20"/>
  <c r="U44" i="20" s="1"/>
  <c r="F43" i="20"/>
  <c r="E43" i="20"/>
  <c r="F44" i="20"/>
  <c r="E44" i="20"/>
  <c r="N43" i="20"/>
  <c r="N38" i="20"/>
  <c r="K37" i="20"/>
  <c r="E37" i="20"/>
  <c r="E38" i="20"/>
  <c r="F38" i="20"/>
  <c r="F37" i="20"/>
  <c r="N37" i="20"/>
  <c r="K31" i="20"/>
  <c r="H31" i="20"/>
  <c r="M31" i="20" s="1"/>
  <c r="U26" i="20"/>
  <c r="I25" i="20"/>
  <c r="H25" i="20"/>
  <c r="K25" i="20"/>
  <c r="L26" i="20" s="1"/>
  <c r="H19" i="20"/>
  <c r="I19" i="20"/>
  <c r="K19" i="20"/>
  <c r="L19" i="20" s="1"/>
  <c r="L20" i="20"/>
  <c r="F13" i="20"/>
  <c r="E14" i="20"/>
  <c r="E13" i="20"/>
  <c r="F14" i="20"/>
  <c r="U13" i="20"/>
  <c r="U14" i="20" s="1"/>
  <c r="N7" i="20"/>
  <c r="N8" i="20"/>
  <c r="K7" i="20"/>
  <c r="L7" i="20" s="1"/>
  <c r="F8" i="19"/>
  <c r="H7" i="20"/>
  <c r="T44" i="20"/>
  <c r="U20" i="20"/>
  <c r="M19" i="20" s="1"/>
  <c r="T14" i="20"/>
  <c r="T38" i="20"/>
  <c r="U37" i="20"/>
  <c r="F8" i="20"/>
  <c r="U8" i="20"/>
  <c r="D39" i="9" l="1"/>
  <c r="E39" i="9"/>
  <c r="E26" i="2"/>
  <c r="E25" i="2" s="1"/>
  <c r="M7" i="20"/>
  <c r="G16" i="19"/>
  <c r="G15" i="19" s="1"/>
  <c r="F16" i="19"/>
  <c r="F15" i="19" s="1"/>
  <c r="K16" i="19"/>
  <c r="L15" i="19" s="1"/>
  <c r="F26" i="2"/>
  <c r="G26" i="2" s="1"/>
  <c r="H25" i="2" s="1"/>
  <c r="D26" i="2"/>
  <c r="D25" i="2" s="1"/>
  <c r="F21" i="2"/>
  <c r="H43" i="20"/>
  <c r="I43" i="20"/>
  <c r="M43" i="20"/>
  <c r="L44" i="20"/>
  <c r="L43" i="20"/>
  <c r="H37" i="20"/>
  <c r="I37" i="20" s="1"/>
  <c r="L38" i="20"/>
  <c r="L37" i="20"/>
  <c r="L32" i="20"/>
  <c r="L31" i="20"/>
  <c r="I31" i="20"/>
  <c r="L25" i="20"/>
  <c r="M25" i="20"/>
  <c r="H13" i="20"/>
  <c r="M13" i="20" s="1"/>
  <c r="I13" i="20"/>
  <c r="L14" i="20"/>
  <c r="L13" i="20"/>
  <c r="I7" i="20"/>
  <c r="L8" i="20"/>
  <c r="U38" i="20"/>
  <c r="M37" i="20" s="1"/>
  <c r="G10" i="7" l="1"/>
  <c r="G7" i="6"/>
  <c r="F10" i="22"/>
  <c r="H10" i="22"/>
  <c r="F11" i="22"/>
  <c r="H11" i="22"/>
  <c r="F12" i="22"/>
  <c r="H12" i="22"/>
  <c r="F13" i="22"/>
  <c r="H13" i="22"/>
  <c r="F14" i="22"/>
  <c r="H14" i="22"/>
  <c r="F15" i="22"/>
  <c r="H15" i="22"/>
  <c r="F16" i="22"/>
  <c r="H16" i="22"/>
  <c r="F17" i="22"/>
  <c r="H17" i="22"/>
  <c r="F18" i="22"/>
  <c r="H18" i="22"/>
  <c r="F19" i="22"/>
  <c r="H19" i="22"/>
  <c r="F20" i="22"/>
  <c r="H20" i="22"/>
  <c r="F21" i="22"/>
  <c r="H21" i="22"/>
  <c r="F22" i="22"/>
  <c r="H22" i="22"/>
  <c r="F23" i="22"/>
  <c r="H23" i="22"/>
  <c r="F24" i="22"/>
  <c r="H24" i="22"/>
  <c r="F25" i="22"/>
  <c r="H25" i="22"/>
  <c r="F26" i="22"/>
  <c r="H26" i="22"/>
  <c r="F27" i="22"/>
  <c r="G27" i="22"/>
  <c r="H27" i="22"/>
  <c r="F28" i="22"/>
  <c r="G28" i="22"/>
  <c r="H28" i="22"/>
  <c r="H8" i="22"/>
  <c r="H9" i="22"/>
  <c r="H29" i="22"/>
  <c r="H30" i="22"/>
  <c r="H31" i="22"/>
  <c r="H32" i="22"/>
  <c r="H33" i="22"/>
  <c r="E34" i="22"/>
  <c r="G8" i="22" s="1"/>
  <c r="F8" i="22"/>
  <c r="F9" i="22"/>
  <c r="F29" i="22"/>
  <c r="F30" i="22"/>
  <c r="F31" i="22"/>
  <c r="F32" i="22"/>
  <c r="F33" i="22"/>
  <c r="G29" i="22"/>
  <c r="G30" i="22"/>
  <c r="G31" i="22"/>
  <c r="G32" i="22"/>
  <c r="G33" i="22"/>
  <c r="B13" i="3"/>
  <c r="C13" i="3"/>
  <c r="H1" i="6"/>
  <c r="G7" i="3"/>
  <c r="D27" i="8"/>
  <c r="B29" i="8"/>
  <c r="C29" i="8"/>
  <c r="D35" i="8"/>
  <c r="B37" i="8"/>
  <c r="C37" i="8"/>
  <c r="D43" i="8"/>
  <c r="B45" i="8"/>
  <c r="C45" i="8"/>
  <c r="D11" i="8"/>
  <c r="B13" i="8"/>
  <c r="C13" i="8"/>
  <c r="D19" i="8"/>
  <c r="B21" i="8"/>
  <c r="C21" i="8"/>
  <c r="D51" i="8"/>
  <c r="B53" i="8"/>
  <c r="C53" i="8"/>
  <c r="N8" i="19"/>
  <c r="J32" i="9"/>
  <c r="I10" i="17"/>
  <c r="H10" i="17" s="1"/>
  <c r="I11" i="17"/>
  <c r="J11" i="17" s="1"/>
  <c r="I12" i="17"/>
  <c r="J12" i="17" s="1"/>
  <c r="I13" i="17"/>
  <c r="J13" i="17" s="1"/>
  <c r="I14" i="17"/>
  <c r="J14" i="17" s="1"/>
  <c r="I15" i="17"/>
  <c r="J15" i="17" s="1"/>
  <c r="I16" i="17"/>
  <c r="I17" i="17"/>
  <c r="K17" i="17" s="1"/>
  <c r="I18" i="17"/>
  <c r="J18" i="17" s="1"/>
  <c r="I19" i="17"/>
  <c r="K19" i="17" s="1"/>
  <c r="L19" i="17" s="1"/>
  <c r="C21" i="17"/>
  <c r="C23" i="17" s="1"/>
  <c r="C24" i="17" s="1"/>
  <c r="D21" i="17"/>
  <c r="D23" i="17" s="1"/>
  <c r="E21" i="17"/>
  <c r="E20" i="17" s="1"/>
  <c r="F21" i="17"/>
  <c r="F22" i="17" s="1"/>
  <c r="G21" i="17"/>
  <c r="G23" i="17" s="1"/>
  <c r="G24" i="17" s="1"/>
  <c r="C49" i="17"/>
  <c r="D49" i="17"/>
  <c r="E49" i="17"/>
  <c r="F49" i="17"/>
  <c r="G49" i="17"/>
  <c r="E50" i="17"/>
  <c r="C50" i="17"/>
  <c r="D50" i="17"/>
  <c r="F50" i="17"/>
  <c r="G50" i="17"/>
  <c r="C51" i="17"/>
  <c r="D51" i="17"/>
  <c r="E51" i="17"/>
  <c r="F51" i="17"/>
  <c r="G51" i="17"/>
  <c r="C52" i="17"/>
  <c r="D52" i="17"/>
  <c r="E52" i="17"/>
  <c r="F52" i="17"/>
  <c r="G52" i="17"/>
  <c r="C53" i="17"/>
  <c r="D53" i="17"/>
  <c r="E53" i="17"/>
  <c r="F53" i="17"/>
  <c r="G53" i="17"/>
  <c r="C54" i="17"/>
  <c r="D54" i="17"/>
  <c r="H54" i="17" s="1"/>
  <c r="E54" i="17"/>
  <c r="F54" i="17"/>
  <c r="G54" i="17"/>
  <c r="C55" i="17"/>
  <c r="D55" i="17"/>
  <c r="E55" i="17"/>
  <c r="F55" i="17"/>
  <c r="G55" i="17"/>
  <c r="C56" i="17"/>
  <c r="D56" i="17"/>
  <c r="E56" i="17"/>
  <c r="F56" i="17"/>
  <c r="G56" i="17"/>
  <c r="C57" i="17"/>
  <c r="D57" i="17"/>
  <c r="E57" i="17"/>
  <c r="H57" i="17" s="1"/>
  <c r="F57" i="17"/>
  <c r="G57" i="17"/>
  <c r="C58" i="17"/>
  <c r="D58" i="17"/>
  <c r="H58" i="17" s="1"/>
  <c r="E58" i="17"/>
  <c r="F58" i="17"/>
  <c r="G58" i="17"/>
  <c r="K15" i="17"/>
  <c r="L15" i="17" s="1"/>
  <c r="L17" i="17"/>
  <c r="J17" i="17"/>
  <c r="B11" i="2"/>
  <c r="M21" i="5"/>
  <c r="K21" i="5" s="1"/>
  <c r="L21" i="5"/>
  <c r="J21" i="5" s="1"/>
  <c r="B13" i="5"/>
  <c r="C13" i="5"/>
  <c r="H36" i="15"/>
  <c r="H35" i="15"/>
  <c r="H34" i="15"/>
  <c r="H33" i="15"/>
  <c r="D36" i="15"/>
  <c r="D35" i="15"/>
  <c r="D34" i="15"/>
  <c r="D33" i="15"/>
  <c r="G14" i="15"/>
  <c r="G13" i="15"/>
  <c r="G12" i="15"/>
  <c r="G11" i="15"/>
  <c r="H25" i="15"/>
  <c r="H24" i="15"/>
  <c r="H23" i="15"/>
  <c r="H22" i="15"/>
  <c r="D25" i="15"/>
  <c r="D24" i="15"/>
  <c r="D23" i="15"/>
  <c r="D22" i="15"/>
  <c r="H37" i="15"/>
  <c r="H32" i="15"/>
  <c r="H31" i="15"/>
  <c r="H30" i="15"/>
  <c r="H26" i="15"/>
  <c r="H21" i="15"/>
  <c r="H20" i="15"/>
  <c r="H19" i="15"/>
  <c r="G15" i="15"/>
  <c r="G10" i="15"/>
  <c r="G9" i="15"/>
  <c r="G8" i="15"/>
  <c r="D37" i="15"/>
  <c r="D32" i="15"/>
  <c r="D31" i="15"/>
  <c r="D30" i="15"/>
  <c r="D26" i="15"/>
  <c r="D21" i="15"/>
  <c r="D20" i="15"/>
  <c r="D19" i="15"/>
  <c r="D12" i="8"/>
  <c r="D20" i="8"/>
  <c r="D52" i="8"/>
  <c r="D44" i="8"/>
  <c r="D36" i="8"/>
  <c r="D28" i="8"/>
  <c r="B67" i="8"/>
  <c r="B68" i="8"/>
  <c r="C67" i="8"/>
  <c r="C68" i="8"/>
  <c r="D12" i="3"/>
  <c r="D11" i="3"/>
  <c r="B13" i="6"/>
  <c r="C13" i="6"/>
  <c r="D12" i="6"/>
  <c r="D11" i="6"/>
  <c r="F13" i="6" s="1"/>
  <c r="D9" i="2"/>
  <c r="D10" i="2"/>
  <c r="C11" i="2"/>
  <c r="H18" i="17"/>
  <c r="K18" i="17"/>
  <c r="L18" i="17" s="1"/>
  <c r="H16" i="17"/>
  <c r="K16" i="17"/>
  <c r="L16" i="17" s="1"/>
  <c r="J16" i="17"/>
  <c r="H14" i="17"/>
  <c r="D45" i="8"/>
  <c r="J43" i="8" s="1"/>
  <c r="K13" i="17"/>
  <c r="L13" i="17" s="1"/>
  <c r="H13" i="17"/>
  <c r="K10" i="17" l="1"/>
  <c r="L10" i="17" s="1"/>
  <c r="D20" i="17"/>
  <c r="D22" i="17"/>
  <c r="E23" i="17"/>
  <c r="E24" i="17" s="1"/>
  <c r="N13" i="5"/>
  <c r="H13" i="5" s="1"/>
  <c r="E11" i="6"/>
  <c r="E13" i="6" s="1"/>
  <c r="E22" i="17"/>
  <c r="K14" i="17"/>
  <c r="L14" i="17" s="1"/>
  <c r="H15" i="17"/>
  <c r="H50" i="17"/>
  <c r="J10" i="17"/>
  <c r="K11" i="17"/>
  <c r="L11" i="17" s="1"/>
  <c r="G24" i="22"/>
  <c r="G12" i="22"/>
  <c r="G19" i="22"/>
  <c r="G15" i="22"/>
  <c r="G34" i="22"/>
  <c r="G9" i="22"/>
  <c r="F34" i="22"/>
  <c r="C39" i="22" s="1"/>
  <c r="G13" i="22"/>
  <c r="G25" i="22"/>
  <c r="G22" i="22"/>
  <c r="G18" i="22"/>
  <c r="G21" i="22"/>
  <c r="G11" i="22"/>
  <c r="G23" i="22"/>
  <c r="G20" i="22"/>
  <c r="G26" i="22"/>
  <c r="G17" i="22"/>
  <c r="H11" i="17"/>
  <c r="D67" i="8"/>
  <c r="D68" i="8"/>
  <c r="B69" i="8"/>
  <c r="D13" i="8"/>
  <c r="J11" i="8" s="1"/>
  <c r="H45" i="8"/>
  <c r="P43" i="8"/>
  <c r="D21" i="8"/>
  <c r="Q19" i="8" s="1"/>
  <c r="R19" i="8" s="1"/>
  <c r="D53" i="8"/>
  <c r="F51" i="8" s="1"/>
  <c r="D13" i="3"/>
  <c r="L29" i="3"/>
  <c r="G20" i="17"/>
  <c r="C20" i="17"/>
  <c r="C22" i="17"/>
  <c r="G22" i="17"/>
  <c r="G34" i="9"/>
  <c r="G45" i="9" s="1"/>
  <c r="F34" i="9"/>
  <c r="F45" i="9" s="1"/>
  <c r="J31" i="9"/>
  <c r="B45" i="9"/>
  <c r="D30" i="5"/>
  <c r="E30" i="5" s="1"/>
  <c r="D31" i="5"/>
  <c r="E31" i="5" s="1"/>
  <c r="C21" i="2"/>
  <c r="E10" i="2"/>
  <c r="F10" i="2"/>
  <c r="L11" i="2"/>
  <c r="J11" i="2" s="1"/>
  <c r="E9" i="2"/>
  <c r="F9" i="2"/>
  <c r="I8" i="19"/>
  <c r="I9" i="19" s="1"/>
  <c r="H8" i="19"/>
  <c r="H9" i="19" s="1"/>
  <c r="E10" i="19"/>
  <c r="Q43" i="8"/>
  <c r="R43" i="8" s="1"/>
  <c r="H53" i="17"/>
  <c r="D37" i="8"/>
  <c r="S35" i="8" s="1"/>
  <c r="D29" i="8"/>
  <c r="H56" i="17"/>
  <c r="L45" i="3"/>
  <c r="F43" i="8"/>
  <c r="G43" i="8" s="1"/>
  <c r="G45" i="8" s="1"/>
  <c r="I46" i="8" s="1"/>
  <c r="I44" i="8" s="1"/>
  <c r="F20" i="17"/>
  <c r="F23" i="17"/>
  <c r="F24" i="17" s="1"/>
  <c r="H55" i="17"/>
  <c r="H51" i="17"/>
  <c r="H49" i="17"/>
  <c r="D24" i="17"/>
  <c r="H24" i="17" s="1"/>
  <c r="J19" i="17"/>
  <c r="E43" i="8"/>
  <c r="H19" i="17"/>
  <c r="G11" i="21"/>
  <c r="H69" i="8"/>
  <c r="D13" i="6"/>
  <c r="H52" i="17"/>
  <c r="D11" i="2"/>
  <c r="C32" i="2" s="1"/>
  <c r="C35" i="2" s="1"/>
  <c r="C69" i="8"/>
  <c r="H12" i="17"/>
  <c r="K12" i="17"/>
  <c r="S43" i="8"/>
  <c r="K43" i="8"/>
  <c r="J44" i="9"/>
  <c r="H17" i="17"/>
  <c r="G14" i="22"/>
  <c r="G10" i="22"/>
  <c r="G16" i="22"/>
  <c r="H34" i="22"/>
  <c r="D39" i="22" s="1"/>
  <c r="I13" i="5" l="1"/>
  <c r="D13" i="5"/>
  <c r="D16" i="5"/>
  <c r="E16" i="5"/>
  <c r="D49" i="9"/>
  <c r="E49" i="9"/>
  <c r="G13" i="6"/>
  <c r="G11" i="6" s="1"/>
  <c r="G14" i="6"/>
  <c r="G12" i="6" s="1"/>
  <c r="F31" i="5"/>
  <c r="G31" i="5" s="1"/>
  <c r="J20" i="17"/>
  <c r="E39" i="22"/>
  <c r="E40" i="22" s="1"/>
  <c r="F39" i="22"/>
  <c r="F40" i="22" s="1"/>
  <c r="C40" i="22"/>
  <c r="E42" i="22"/>
  <c r="G42" i="22" s="1"/>
  <c r="G10" i="21"/>
  <c r="J19" i="8"/>
  <c r="S19" i="8"/>
  <c r="Q35" i="8"/>
  <c r="R35" i="8" s="1"/>
  <c r="F19" i="8"/>
  <c r="K19" i="8"/>
  <c r="D69" i="8"/>
  <c r="F67" i="8" s="1"/>
  <c r="E19" i="8"/>
  <c r="H53" i="8"/>
  <c r="I45" i="8"/>
  <c r="I43" i="8" s="1"/>
  <c r="H21" i="8"/>
  <c r="P19" i="8"/>
  <c r="S51" i="8"/>
  <c r="K11" i="8"/>
  <c r="F11" i="8"/>
  <c r="H13" i="8"/>
  <c r="E11" i="8"/>
  <c r="L11" i="8" s="1"/>
  <c r="S11" i="8"/>
  <c r="M43" i="8"/>
  <c r="P51" i="8"/>
  <c r="K51" i="8"/>
  <c r="M51" i="8" s="1"/>
  <c r="E51" i="8"/>
  <c r="J51" i="8"/>
  <c r="L51" i="8" s="1"/>
  <c r="Q11" i="8"/>
  <c r="R11" i="8" s="1"/>
  <c r="P11" i="8"/>
  <c r="Q51" i="8"/>
  <c r="R51" i="8" s="1"/>
  <c r="L13" i="3"/>
  <c r="L37" i="3"/>
  <c r="L21" i="3"/>
  <c r="H23" i="17"/>
  <c r="H22" i="17"/>
  <c r="H59" i="17"/>
  <c r="F33" i="9"/>
  <c r="F44" i="9" s="1"/>
  <c r="G33" i="9"/>
  <c r="G44" i="9" s="1"/>
  <c r="F16" i="5"/>
  <c r="F13" i="5" s="1"/>
  <c r="B31" i="2"/>
  <c r="B34" i="2" s="1"/>
  <c r="C31" i="2"/>
  <c r="C34" i="2" s="1"/>
  <c r="E32" i="2" s="1"/>
  <c r="F32" i="2" s="1"/>
  <c r="B32" i="2"/>
  <c r="B35" i="2" s="1"/>
  <c r="C16" i="2"/>
  <c r="E11" i="2"/>
  <c r="B20" i="2"/>
  <c r="B21" i="2" s="1"/>
  <c r="G21" i="2" s="1"/>
  <c r="H20" i="2" s="1"/>
  <c r="I11" i="2"/>
  <c r="H10" i="2"/>
  <c r="G10" i="2"/>
  <c r="B16" i="2"/>
  <c r="H9" i="2"/>
  <c r="G9" i="2"/>
  <c r="F11" i="2"/>
  <c r="F10" i="19"/>
  <c r="F9" i="19" s="1"/>
  <c r="G10" i="19"/>
  <c r="G9" i="19" s="1"/>
  <c r="P27" i="8"/>
  <c r="K27" i="8"/>
  <c r="E27" i="8"/>
  <c r="F27" i="8"/>
  <c r="J27" i="8"/>
  <c r="Q27" i="8"/>
  <c r="R27" i="8" s="1"/>
  <c r="H29" i="8"/>
  <c r="H37" i="8"/>
  <c r="P35" i="8"/>
  <c r="K35" i="8"/>
  <c r="F35" i="8"/>
  <c r="G35" i="8" s="1"/>
  <c r="G37" i="8" s="1"/>
  <c r="J35" i="8"/>
  <c r="E35" i="8"/>
  <c r="S27" i="8"/>
  <c r="E67" i="8"/>
  <c r="L12" i="17"/>
  <c r="L20" i="17" s="1"/>
  <c r="K20" i="17"/>
  <c r="G51" i="8"/>
  <c r="G53" i="8" s="1"/>
  <c r="L43" i="8"/>
  <c r="N43" i="8"/>
  <c r="F60" i="6"/>
  <c r="C60" i="6"/>
  <c r="H20" i="17"/>
  <c r="C61" i="6"/>
  <c r="F61" i="6"/>
  <c r="G16" i="5" l="1"/>
  <c r="G13" i="5" s="1"/>
  <c r="M19" i="8"/>
  <c r="F62" i="6"/>
  <c r="D62" i="17"/>
  <c r="D63" i="17" s="1"/>
  <c r="L19" i="8"/>
  <c r="M35" i="8"/>
  <c r="F58" i="8"/>
  <c r="P57" i="8"/>
  <c r="B62" i="8" s="1"/>
  <c r="G19" i="8"/>
  <c r="G21" i="8" s="1"/>
  <c r="I21" i="8" s="1"/>
  <c r="I19" i="8" s="1"/>
  <c r="N19" i="8"/>
  <c r="S57" i="8"/>
  <c r="R57" i="8"/>
  <c r="A58" i="8" s="1"/>
  <c r="C58" i="8" s="1"/>
  <c r="K57" i="8"/>
  <c r="G11" i="8"/>
  <c r="G13" i="8" s="1"/>
  <c r="M11" i="8"/>
  <c r="Q57" i="8"/>
  <c r="N11" i="8"/>
  <c r="N51" i="8"/>
  <c r="J57" i="8"/>
  <c r="C62" i="6"/>
  <c r="E64" i="6" s="1"/>
  <c r="G64" i="6" s="1"/>
  <c r="E62" i="6"/>
  <c r="L79" i="3"/>
  <c r="B79" i="3" s="1"/>
  <c r="E21" i="2"/>
  <c r="E20" i="2" s="1"/>
  <c r="G11" i="2"/>
  <c r="D21" i="2"/>
  <c r="D20" i="2" s="1"/>
  <c r="D16" i="2"/>
  <c r="E16" i="2"/>
  <c r="G16" i="2"/>
  <c r="H16" i="2" s="1"/>
  <c r="H11" i="2"/>
  <c r="I38" i="8"/>
  <c r="I36" i="8" s="1"/>
  <c r="I37" i="8"/>
  <c r="I35" i="8" s="1"/>
  <c r="M27" i="8"/>
  <c r="G27" i="8"/>
  <c r="G29" i="8" s="1"/>
  <c r="L35" i="8"/>
  <c r="N35" i="8"/>
  <c r="L27" i="8"/>
  <c r="N27" i="8"/>
  <c r="E58" i="8"/>
  <c r="I22" i="8"/>
  <c r="I20" i="8" s="1"/>
  <c r="F34" i="17"/>
  <c r="F82" i="17" s="1"/>
  <c r="C28" i="17"/>
  <c r="C76" i="17" s="1"/>
  <c r="D32" i="17"/>
  <c r="D80" i="17" s="1"/>
  <c r="G32" i="17"/>
  <c r="G80" i="17" s="1"/>
  <c r="D35" i="17"/>
  <c r="D83" i="17" s="1"/>
  <c r="G31" i="17"/>
  <c r="G79" i="17" s="1"/>
  <c r="E32" i="17"/>
  <c r="E80" i="17" s="1"/>
  <c r="D30" i="17"/>
  <c r="D78" i="17" s="1"/>
  <c r="C63" i="17"/>
  <c r="F27" i="17"/>
  <c r="F75" i="17" s="1"/>
  <c r="C27" i="17"/>
  <c r="C75" i="17" s="1"/>
  <c r="E28" i="17"/>
  <c r="E76" i="17" s="1"/>
  <c r="G33" i="17"/>
  <c r="G81" i="17" s="1"/>
  <c r="C30" i="17"/>
  <c r="C78" i="17" s="1"/>
  <c r="D29" i="17"/>
  <c r="D77" i="17" s="1"/>
  <c r="C31" i="17"/>
  <c r="C79" i="17" s="1"/>
  <c r="F30" i="17"/>
  <c r="F78" i="17" s="1"/>
  <c r="C35" i="17"/>
  <c r="C83" i="17" s="1"/>
  <c r="E34" i="17"/>
  <c r="E82" i="17" s="1"/>
  <c r="E30" i="17"/>
  <c r="E78" i="17" s="1"/>
  <c r="E26" i="17"/>
  <c r="E74" i="17" s="1"/>
  <c r="F31" i="17"/>
  <c r="F79" i="17" s="1"/>
  <c r="G28" i="17"/>
  <c r="G76" i="17" s="1"/>
  <c r="F32" i="17"/>
  <c r="F80" i="17" s="1"/>
  <c r="F28" i="17"/>
  <c r="F76" i="17" s="1"/>
  <c r="E31" i="17"/>
  <c r="E79" i="17" s="1"/>
  <c r="E27" i="17"/>
  <c r="E75" i="17" s="1"/>
  <c r="C34" i="17"/>
  <c r="C82" i="17" s="1"/>
  <c r="E29" i="17"/>
  <c r="E77" i="17" s="1"/>
  <c r="C26" i="17"/>
  <c r="C74" i="17" s="1"/>
  <c r="C33" i="17"/>
  <c r="C81" i="17" s="1"/>
  <c r="D31" i="17"/>
  <c r="D79" i="17" s="1"/>
  <c r="E35" i="17"/>
  <c r="E83" i="17" s="1"/>
  <c r="G34" i="17"/>
  <c r="G82" i="17" s="1"/>
  <c r="D28" i="17"/>
  <c r="D76" i="17" s="1"/>
  <c r="F33" i="17"/>
  <c r="F81" i="17" s="1"/>
  <c r="D26" i="17"/>
  <c r="D74" i="17" s="1"/>
  <c r="C32" i="17"/>
  <c r="C80" i="17" s="1"/>
  <c r="G35" i="17"/>
  <c r="G83" i="17" s="1"/>
  <c r="G30" i="17"/>
  <c r="G78" i="17" s="1"/>
  <c r="D33" i="17"/>
  <c r="D81" i="17" s="1"/>
  <c r="E33" i="17"/>
  <c r="E81" i="17" s="1"/>
  <c r="G26" i="17"/>
  <c r="G74" i="17" s="1"/>
  <c r="F35" i="17"/>
  <c r="F83" i="17" s="1"/>
  <c r="D34" i="17"/>
  <c r="D82" i="17" s="1"/>
  <c r="G29" i="17"/>
  <c r="G77" i="17" s="1"/>
  <c r="F29" i="17"/>
  <c r="F77" i="17" s="1"/>
  <c r="C29" i="17"/>
  <c r="C77" i="17" s="1"/>
  <c r="G27" i="17"/>
  <c r="G75" i="17" s="1"/>
  <c r="D27" i="17"/>
  <c r="D75" i="17" s="1"/>
  <c r="F26" i="17"/>
  <c r="F74" i="17" s="1"/>
  <c r="I54" i="8"/>
  <c r="I53" i="8"/>
  <c r="I51" i="8" s="1"/>
  <c r="I56" i="8"/>
  <c r="I52" i="8" s="1"/>
  <c r="H13" i="6"/>
  <c r="G67" i="8"/>
  <c r="G69" i="8" s="1"/>
  <c r="D45" i="17" l="1"/>
  <c r="E46" i="17"/>
  <c r="F39" i="17"/>
  <c r="E37" i="17"/>
  <c r="F41" i="17"/>
  <c r="G44" i="17"/>
  <c r="F45" i="17"/>
  <c r="F46" i="17"/>
  <c r="F44" i="17"/>
  <c r="F43" i="17"/>
  <c r="E39" i="17"/>
  <c r="G43" i="17"/>
  <c r="G37" i="17"/>
  <c r="D39" i="17"/>
  <c r="C44" i="17"/>
  <c r="E38" i="17"/>
  <c r="G39" i="17"/>
  <c r="E45" i="17"/>
  <c r="D40" i="17"/>
  <c r="C38" i="17"/>
  <c r="E43" i="17"/>
  <c r="D43" i="17"/>
  <c r="G38" i="17"/>
  <c r="D44" i="17"/>
  <c r="D37" i="17"/>
  <c r="E40" i="17"/>
  <c r="D46" i="17"/>
  <c r="C40" i="17"/>
  <c r="G41" i="17"/>
  <c r="D42" i="17"/>
  <c r="C45" i="17"/>
  <c r="E41" i="17"/>
  <c r="C42" i="17"/>
  <c r="D41" i="17"/>
  <c r="F37" i="17"/>
  <c r="F40" i="17"/>
  <c r="G46" i="17"/>
  <c r="D38" i="17"/>
  <c r="G40" i="17"/>
  <c r="E44" i="17"/>
  <c r="C43" i="17"/>
  <c r="G45" i="17"/>
  <c r="C37" i="17"/>
  <c r="E42" i="17"/>
  <c r="F42" i="17"/>
  <c r="C46" i="17"/>
  <c r="C41" i="17"/>
  <c r="F38" i="17"/>
  <c r="G42" i="17"/>
  <c r="C39" i="17"/>
  <c r="D62" i="6"/>
  <c r="H52" i="6"/>
  <c r="D52" i="6" s="1"/>
  <c r="D64" i="17"/>
  <c r="E63" i="17"/>
  <c r="L57" i="8"/>
  <c r="J59" i="8" s="1"/>
  <c r="M57" i="8"/>
  <c r="L59" i="8" s="1"/>
  <c r="N57" i="8"/>
  <c r="K59" i="8" s="1"/>
  <c r="I13" i="8"/>
  <c r="I11" i="8" s="1"/>
  <c r="I14" i="8"/>
  <c r="I12" i="8" s="1"/>
  <c r="T57" i="8"/>
  <c r="G58" i="8"/>
  <c r="G60" i="8" s="1"/>
  <c r="I30" i="8"/>
  <c r="I28" i="8" s="1"/>
  <c r="I29" i="8"/>
  <c r="I27" i="8" s="1"/>
  <c r="E60" i="6"/>
  <c r="I13" i="6"/>
  <c r="D60" i="6"/>
  <c r="D61" i="6"/>
  <c r="I52" i="6"/>
  <c r="E61" i="6"/>
  <c r="I69" i="8"/>
  <c r="I67" i="8" s="1"/>
  <c r="I70" i="8"/>
  <c r="I68" i="8" s="1"/>
  <c r="H46" i="17" l="1"/>
  <c r="H43" i="17"/>
  <c r="H39" i="17"/>
  <c r="H45" i="17"/>
  <c r="H38" i="17"/>
  <c r="E69" i="17"/>
  <c r="H41" i="17"/>
  <c r="H40" i="17"/>
  <c r="H37" i="17"/>
  <c r="H42" i="17"/>
  <c r="H44" i="17"/>
  <c r="C52" i="6"/>
  <c r="E55" i="6" s="1"/>
  <c r="G55" i="6" s="1"/>
  <c r="H60" i="8"/>
  <c r="I61" i="8" s="1"/>
  <c r="I59" i="8" s="1"/>
  <c r="O11" i="8"/>
  <c r="O35" i="8"/>
  <c r="O51" i="8"/>
  <c r="O27" i="8"/>
  <c r="O19" i="8"/>
  <c r="O43" i="8"/>
  <c r="I60" i="8"/>
  <c r="I58" i="8" s="1"/>
  <c r="H47" i="17" l="1"/>
  <c r="C62" i="17" s="1"/>
  <c r="E62" i="17" s="1"/>
  <c r="C50" i="6"/>
  <c r="E53" i="6"/>
  <c r="E51" i="6" s="1"/>
  <c r="E52" i="6"/>
  <c r="E50" i="6" s="1"/>
  <c r="O57" i="8"/>
  <c r="A62" i="8" s="1"/>
  <c r="C62" i="8" s="1"/>
  <c r="K45" i="3"/>
  <c r="K29" i="3"/>
  <c r="K37" i="3"/>
  <c r="K21" i="3"/>
  <c r="K13" i="3"/>
  <c r="C64" i="17" l="1"/>
  <c r="E64" i="17" s="1"/>
  <c r="K79" i="3"/>
  <c r="A79" i="3" s="1"/>
  <c r="C79" i="3" s="1"/>
</calcChain>
</file>

<file path=xl/sharedStrings.xml><?xml version="1.0" encoding="utf-8"?>
<sst xmlns="http://schemas.openxmlformats.org/spreadsheetml/2006/main" count="1488" uniqueCount="341">
  <si>
    <t>+</t>
  </si>
  <si>
    <t>OR</t>
  </si>
  <si>
    <t>SE</t>
  </si>
  <si>
    <t>CI</t>
  </si>
  <si>
    <t>Outcome</t>
  </si>
  <si>
    <t>RR</t>
  </si>
  <si>
    <t>Events</t>
  </si>
  <si>
    <t>Time</t>
  </si>
  <si>
    <t>Rate</t>
  </si>
  <si>
    <t>IRR</t>
  </si>
  <si>
    <t>Chi^2</t>
  </si>
  <si>
    <t>RD</t>
  </si>
  <si>
    <t>95% CI</t>
  </si>
  <si>
    <t>IRD</t>
  </si>
  <si>
    <t>z =</t>
  </si>
  <si>
    <t>Risk</t>
  </si>
  <si>
    <t>Weighted estimate</t>
  </si>
  <si>
    <t>Crude RR</t>
  </si>
  <si>
    <t>P</t>
  </si>
  <si>
    <t>Q</t>
  </si>
  <si>
    <t>GP</t>
  </si>
  <si>
    <t>HQ</t>
  </si>
  <si>
    <t>x1</t>
  </si>
  <si>
    <t>x2</t>
  </si>
  <si>
    <t>x3</t>
  </si>
  <si>
    <t>GQ+HP</t>
  </si>
  <si>
    <t>SD</t>
  </si>
  <si>
    <t>Means</t>
  </si>
  <si>
    <t>Proportions</t>
  </si>
  <si>
    <t>Odds</t>
  </si>
  <si>
    <t>Rates</t>
  </si>
  <si>
    <t>Mean</t>
  </si>
  <si>
    <t>z</t>
  </si>
  <si>
    <t>p</t>
  </si>
  <si>
    <t>Test for homogeneity</t>
  </si>
  <si>
    <t>df</t>
  </si>
  <si>
    <t>Total</t>
  </si>
  <si>
    <t>Homogen</t>
  </si>
  <si>
    <t>Crude estimate</t>
  </si>
  <si>
    <t>a1*b0/n</t>
  </si>
  <si>
    <t>a0*b1/n</t>
  </si>
  <si>
    <t>U</t>
  </si>
  <si>
    <t>E(a1)</t>
  </si>
  <si>
    <t>V</t>
  </si>
  <si>
    <t>df+1</t>
  </si>
  <si>
    <t>Test for OR=1 (M-H)</t>
  </si>
  <si>
    <t>S</t>
  </si>
  <si>
    <t>homogen</t>
  </si>
  <si>
    <t>Expected</t>
  </si>
  <si>
    <t>t</t>
  </si>
  <si>
    <t>z-distribution:</t>
  </si>
  <si>
    <t>t-distribution:</t>
  </si>
  <si>
    <t>Exact 95% CI</t>
  </si>
  <si>
    <t xml:space="preserve">       </t>
  </si>
  <si>
    <t>Approx. 95% CI</t>
  </si>
  <si>
    <t>b</t>
  </si>
  <si>
    <t xml:space="preserve">You are allowed to write in the </t>
  </si>
  <si>
    <t>yellow</t>
  </si>
  <si>
    <t xml:space="preserve"> cells only.</t>
  </si>
  <si>
    <t>rækker</t>
  </si>
  <si>
    <t>Søjler</t>
  </si>
  <si>
    <t>Deviation from trend</t>
  </si>
  <si>
    <t>sx</t>
  </si>
  <si>
    <t>sx2</t>
  </si>
  <si>
    <t>sy</t>
  </si>
  <si>
    <t>sy2</t>
  </si>
  <si>
    <t>sxy</t>
  </si>
  <si>
    <t>Difference</t>
  </si>
  <si>
    <t>(pooled SD)</t>
  </si>
  <si>
    <t>Proportion:</t>
  </si>
  <si>
    <t>Odds:</t>
  </si>
  <si>
    <t>ln(Odds):</t>
  </si>
  <si>
    <t>Events:</t>
  </si>
  <si>
    <t>Observations:</t>
  </si>
  <si>
    <t>Estimate</t>
  </si>
  <si>
    <t>P =</t>
  </si>
  <si>
    <r>
      <t>χ</t>
    </r>
    <r>
      <rPr>
        <b/>
        <sz val="9"/>
        <rFont val="Arial"/>
        <family val="2"/>
      </rPr>
      <t>² distribution:</t>
    </r>
  </si>
  <si>
    <r>
      <t>χ</t>
    </r>
    <r>
      <rPr>
        <sz val="9"/>
        <rFont val="Arial"/>
        <family val="2"/>
      </rPr>
      <t>²</t>
    </r>
  </si>
  <si>
    <t>Odds ratio</t>
  </si>
  <si>
    <t>Incidence rate ratio</t>
  </si>
  <si>
    <t>Rothman (1986, p.185)</t>
  </si>
  <si>
    <t>Male vs. female mortality; patients with trigeminal neuralgia</t>
  </si>
  <si>
    <t>Spermicide use and Down's syndrome, stratified by maternal age</t>
  </si>
  <si>
    <t>Age 35+</t>
  </si>
  <si>
    <t>Age &lt; 35</t>
  </si>
  <si>
    <t>EpiBasic may be downloaded from:</t>
  </si>
  <si>
    <t>Find statistic from significance level</t>
  </si>
  <si>
    <t>Note:</t>
  </si>
  <si>
    <t>Weight</t>
  </si>
  <si>
    <t>Str RR</t>
  </si>
  <si>
    <t>Str OR</t>
  </si>
  <si>
    <t>Str IRR</t>
  </si>
  <si>
    <t>Stratum</t>
  </si>
  <si>
    <t>Weight × estimate</t>
  </si>
  <si>
    <t>Sum</t>
  </si>
  <si>
    <t>Relative weight</t>
  </si>
  <si>
    <r>
      <t xml:space="preserve">D:   </t>
    </r>
    <r>
      <rPr>
        <sz val="10"/>
        <rFont val="Arial"/>
        <family val="2"/>
      </rPr>
      <t xml:space="preserve">  Descriptive statistics</t>
    </r>
  </si>
  <si>
    <r>
      <t xml:space="preserve">C:   </t>
    </r>
    <r>
      <rPr>
        <sz val="10"/>
        <rFont val="Arial"/>
        <family val="2"/>
      </rPr>
      <t xml:space="preserve">  Comparative statistics</t>
    </r>
  </si>
  <si>
    <r>
      <t xml:space="preserve">Str: </t>
    </r>
    <r>
      <rPr>
        <sz val="10"/>
        <rFont val="Arial"/>
        <family val="2"/>
      </rPr>
      <t xml:space="preserve">  Stratified analysis</t>
    </r>
  </si>
  <si>
    <t>Tables</t>
  </si>
  <si>
    <t>Trend score:</t>
  </si>
  <si>
    <t>Trend score</t>
  </si>
  <si>
    <t>The trend scores are used for the trend test; you may change them yourself.</t>
  </si>
  <si>
    <t>Overall test for homogeneity</t>
  </si>
  <si>
    <t>SE ln(OR)</t>
  </si>
  <si>
    <r>
      <t>MH:</t>
    </r>
    <r>
      <rPr>
        <sz val="10"/>
        <rFont val="Arial"/>
        <family val="2"/>
      </rPr>
      <t xml:space="preserve">  Stratified analysis a.m. Mantel-Haenszel</t>
    </r>
  </si>
  <si>
    <t>Weighted average</t>
  </si>
  <si>
    <t>Group</t>
  </si>
  <si>
    <t>pl</t>
  </si>
  <si>
    <t>ph</t>
  </si>
  <si>
    <t>Hypothesis: RR =</t>
  </si>
  <si>
    <t>Hypothesis =</t>
  </si>
  <si>
    <t>Crude OR</t>
  </si>
  <si>
    <t>Hypothesis: OR =</t>
  </si>
  <si>
    <t>Ratio</t>
  </si>
  <si>
    <t>Hypothesis: Ratio =</t>
  </si>
  <si>
    <t>Hypothesis: Ratio=</t>
  </si>
  <si>
    <t>Favrskov</t>
  </si>
  <si>
    <t>Hedensted</t>
  </si>
  <si>
    <t>Herning</t>
  </si>
  <si>
    <t>Holstebro</t>
  </si>
  <si>
    <t>Horsens</t>
  </si>
  <si>
    <t>Ikast-Brande</t>
  </si>
  <si>
    <t>Lemvig</t>
  </si>
  <si>
    <t>Norddjurs</t>
  </si>
  <si>
    <t>Odder</t>
  </si>
  <si>
    <t>Randers</t>
  </si>
  <si>
    <t>Ringkøbing-Skjern</t>
  </si>
  <si>
    <t>Samsø</t>
  </si>
  <si>
    <t>Silkeborg</t>
  </si>
  <si>
    <t>Skanderborg</t>
  </si>
  <si>
    <t>Skive</t>
  </si>
  <si>
    <t>Struer</t>
  </si>
  <si>
    <t>Syddjurs</t>
  </si>
  <si>
    <t>Viborg</t>
  </si>
  <si>
    <t>Aarhus</t>
  </si>
  <si>
    <t>Crude IRR</t>
  </si>
  <si>
    <t>Small</t>
  </si>
  <si>
    <t>Immediate</t>
  </si>
  <si>
    <t>Large</t>
  </si>
  <si>
    <t>12+ years</t>
  </si>
  <si>
    <t>&lt;12 years</t>
  </si>
  <si>
    <t>Kirkwood &amp; Sterne (2003, example 17.4)</t>
  </si>
  <si>
    <t>Hypothesis</t>
  </si>
  <si>
    <t>Rothman, Greenland &amp; Lash (2008, p. 260)</t>
  </si>
  <si>
    <t>Tolbutamide and mortality, stratified by age</t>
  </si>
  <si>
    <t>Rothman, Greenland &amp; Lash (2008, p. 276)</t>
  </si>
  <si>
    <t>Lung function (FVC) among male and female students</t>
  </si>
  <si>
    <t>Hypothesis: IRR =</t>
  </si>
  <si>
    <t>Age &lt; 65</t>
  </si>
  <si>
    <t>Triceps skin fold thickness and age at menarche</t>
  </si>
  <si>
    <t>Hypothesis: Average =</t>
  </si>
  <si>
    <t>Hypothesis: Difference =</t>
  </si>
  <si>
    <t>Mean BMI weighted by population size; municipalities in Central Denmark Region</t>
  </si>
  <si>
    <t>SE ln(IRR)</t>
  </si>
  <si>
    <t>Juul et al (2017, Table 3-3)</t>
  </si>
  <si>
    <t>Juul et al  (2017, Table 3-6)</t>
  </si>
  <si>
    <t>Juul et al (2017, Table 3-1)</t>
  </si>
  <si>
    <t>Label</t>
  </si>
  <si>
    <t>SE ln(RR)</t>
  </si>
  <si>
    <t>Two files are available:</t>
  </si>
  <si>
    <t>For more information, visit the documentation.</t>
  </si>
  <si>
    <r>
      <t xml:space="preserve">In many sheets you find cells marked by </t>
    </r>
    <r>
      <rPr>
        <i/>
        <sz val="10"/>
        <rFont val="Arial"/>
        <family val="2"/>
      </rPr>
      <t>italics</t>
    </r>
    <r>
      <rPr>
        <sz val="10"/>
        <rFont val="Arial"/>
        <family val="2"/>
      </rPr>
      <t>.</t>
    </r>
  </si>
  <si>
    <t>Maintained by Stefan Hansen</t>
  </si>
  <si>
    <t>Originally by Svend Juul og Morten Frydenberg</t>
  </si>
  <si>
    <t>The sheets are write-protected, meaning that you cannot, by mistake, overwrite formulas or otherwise corrupt the sheets.</t>
  </si>
  <si>
    <t>Comparative</t>
  </si>
  <si>
    <t>Descriptive</t>
  </si>
  <si>
    <t>RxC tables</t>
  </si>
  <si>
    <t>Each sheet has a prefix with the following meaning:</t>
  </si>
  <si>
    <t>Simple test</t>
  </si>
  <si>
    <t>n</t>
  </si>
  <si>
    <t>Intervals</t>
  </si>
  <si>
    <t>Interval</t>
  </si>
  <si>
    <t>Values</t>
  </si>
  <si>
    <t>Valid</t>
  </si>
  <si>
    <t>Valid t-dist</t>
  </si>
  <si>
    <t>Valid norm-dist</t>
  </si>
  <si>
    <t>SD-pval</t>
  </si>
  <si>
    <t>Valid chi2-dist</t>
  </si>
  <si>
    <t>Risk time</t>
  </si>
  <si>
    <t>Display also the rates per</t>
  </si>
  <si>
    <t>-</t>
  </si>
  <si>
    <t>Association between fish intake and preterm birth</t>
  </si>
  <si>
    <t>Expected counts</t>
  </si>
  <si>
    <t>Test</t>
  </si>
  <si>
    <r>
      <rPr>
        <sz val="9"/>
        <rFont val="Calibri"/>
        <family val="2"/>
      </rPr>
      <t>χ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contributions</t>
    </r>
  </si>
  <si>
    <t>Comparison of rates by the rate ratio and rate difference.</t>
  </si>
  <si>
    <t>Association between smoking and IHD.</t>
  </si>
  <si>
    <t>NB! Risk estimates are invalid for case-control designs</t>
  </si>
  <si>
    <r>
      <t>χ</t>
    </r>
    <r>
      <rPr>
        <vertAlign val="superscript"/>
        <sz val="9"/>
        <rFont val="Arial"/>
        <family val="2"/>
      </rPr>
      <t>2</t>
    </r>
  </si>
  <si>
    <t>Test for no association</t>
  </si>
  <si>
    <t>Comparison of two means by the mean difference.</t>
  </si>
  <si>
    <t>Test for equal SDs</t>
  </si>
  <si>
    <t>t(df;0.05)</t>
  </si>
  <si>
    <r>
      <t>Pearson χ</t>
    </r>
    <r>
      <rPr>
        <vertAlign val="superscript"/>
        <sz val="9"/>
        <rFont val="Arial"/>
        <family val="2"/>
      </rPr>
      <t>2</t>
    </r>
  </si>
  <si>
    <r>
      <t>χ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for trend</t>
    </r>
  </si>
  <si>
    <t>The trend test is only relevant with ordinal scales, i.e. scales that can be ranked.</t>
  </si>
  <si>
    <t>May be irrelevant, see note below.</t>
  </si>
  <si>
    <t>Test for independence and trend between two categorical variables.</t>
  </si>
  <si>
    <t>Stratified analysis for a relative risk.</t>
  </si>
  <si>
    <r>
      <t>W=1/SE</t>
    </r>
    <r>
      <rPr>
        <i/>
        <vertAlign val="superscript"/>
        <sz val="9"/>
        <rFont val="Arial"/>
        <family val="2"/>
      </rPr>
      <t>2</t>
    </r>
  </si>
  <si>
    <t>ln(RR)*W</t>
  </si>
  <si>
    <t>p =</t>
  </si>
  <si>
    <t>Age &lt; 55</t>
  </si>
  <si>
    <t>Age &gt; 55</t>
  </si>
  <si>
    <t>Comparison of the RR in two strata</t>
  </si>
  <si>
    <t>F</t>
  </si>
  <si>
    <t>df numerator</t>
  </si>
  <si>
    <t>Stratified analysis for an odds ratio.</t>
  </si>
  <si>
    <t>Age &gt; 35</t>
  </si>
  <si>
    <t>ln(OR)*W</t>
  </si>
  <si>
    <t>Comparison of the OR in two strata</t>
  </si>
  <si>
    <t>Stratified analysis of a rate ratio.</t>
  </si>
  <si>
    <t>ln(IRR)*W</t>
  </si>
  <si>
    <t>Age &gt; 65</t>
  </si>
  <si>
    <t>Comparison of the IRR in two strata</t>
  </si>
  <si>
    <t>Mantel-Haenszel stratification for an odds ratio</t>
  </si>
  <si>
    <t>Table of totals</t>
  </si>
  <si>
    <t>Weight related values</t>
  </si>
  <si>
    <t>* Only relevant when the estimates above are on logarithmic scale.</t>
  </si>
  <si>
    <t>Exponential*</t>
  </si>
  <si>
    <r>
      <t>Stratified analysis of any type of parameter. Weights used are 1/SE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.</t>
    </r>
  </si>
  <si>
    <t>Comparison of the parameter in two strata</t>
  </si>
  <si>
    <r>
      <t>(W*SE)</t>
    </r>
    <r>
      <rPr>
        <vertAlign val="superscript"/>
        <sz val="9"/>
        <rFont val="Arial"/>
        <family val="2"/>
      </rPr>
      <t>2</t>
    </r>
  </si>
  <si>
    <r>
      <t xml:space="preserve">For the z and t distributions and for the </t>
    </r>
    <r>
      <rPr>
        <i/>
        <sz val="10"/>
        <rFont val="Times New Roman"/>
        <family val="1"/>
      </rPr>
      <t>χ²</t>
    </r>
    <r>
      <rPr>
        <i/>
        <sz val="10"/>
        <rFont val="Arial"/>
        <family val="2"/>
      </rPr>
      <t xml:space="preserve"> distribution with 1 df, two-sided p-values are used.</t>
    </r>
  </si>
  <si>
    <t>Find p-value from statistic</t>
  </si>
  <si>
    <t>Stratify IRR</t>
  </si>
  <si>
    <t>Stratify OR</t>
  </si>
  <si>
    <t>Stratify RR</t>
  </si>
  <si>
    <t>Any</t>
  </si>
  <si>
    <t>Stratify</t>
  </si>
  <si>
    <t>Mean*W</t>
  </si>
  <si>
    <t>C Props</t>
  </si>
  <si>
    <t>D Means</t>
  </si>
  <si>
    <t>D Props</t>
  </si>
  <si>
    <t>D Rates</t>
  </si>
  <si>
    <t>C Means</t>
  </si>
  <si>
    <t>C Rates</t>
  </si>
  <si>
    <t>P values</t>
  </si>
  <si>
    <t>Obtain a p-value from a statistic or a statistic from a p-value</t>
  </si>
  <si>
    <t>Comparison of the mean difference in two strata</t>
  </si>
  <si>
    <t>Mean Diff</t>
  </si>
  <si>
    <t>Hypothesis: Mean Diff =</t>
  </si>
  <si>
    <t>Str Any 2</t>
  </si>
  <si>
    <t>Str OR (MH)</t>
  </si>
  <si>
    <t>Str Any 1</t>
  </si>
  <si>
    <t>Stratified analysis for a mean difference.</t>
  </si>
  <si>
    <t>Kirkwood and Sterne (2003, Table 8.1)</t>
  </si>
  <si>
    <t>Cholesterol level in an RCT, stratified by drug type.</t>
  </si>
  <si>
    <t>Drug A</t>
  </si>
  <si>
    <t>Drug B</t>
  </si>
  <si>
    <t>Stratify Any 1</t>
  </si>
  <si>
    <t>Stratified Any 2</t>
  </si>
  <si>
    <t>Stratified analysis of any type of parameter with weights being user-specified.</t>
  </si>
  <si>
    <t>Rygere</t>
  </si>
  <si>
    <t>Ikke-rygere</t>
  </si>
  <si>
    <t>Juul et al (2017, Table 7-4). Stratified analysis of odds ratios.</t>
  </si>
  <si>
    <t>OR between throat cancer and alchohol consumption stratified by smoking status.</t>
  </si>
  <si>
    <t>Display the rates per</t>
  </si>
  <si>
    <t>Stratify MD</t>
  </si>
  <si>
    <t>Str MD</t>
  </si>
  <si>
    <t>Stratify RD</t>
  </si>
  <si>
    <t>Stratified analysis for a risk difference.</t>
  </si>
  <si>
    <t>RD*W</t>
  </si>
  <si>
    <t>Hypothesis: RD =</t>
  </si>
  <si>
    <t>Comparison of the RD in two strata</t>
  </si>
  <si>
    <t>Diff</t>
  </si>
  <si>
    <t>Hypothesis: Diff =</t>
  </si>
  <si>
    <t>Crude RD</t>
  </si>
  <si>
    <t>Str RD</t>
  </si>
  <si>
    <t>Sample size</t>
  </si>
  <si>
    <t>Calculation of sample sizes for a comparison of two groups.</t>
  </si>
  <si>
    <t>Significance level</t>
  </si>
  <si>
    <t>Dichotomous outcome</t>
  </si>
  <si>
    <t>Proportion in sample 1</t>
  </si>
  <si>
    <t>Proportion in sample 2</t>
  </si>
  <si>
    <t>Ratio of sample sizes</t>
  </si>
  <si>
    <t>α =</t>
  </si>
  <si>
    <t>1-β =</t>
  </si>
  <si>
    <t>Power</t>
  </si>
  <si>
    <t>Risk of type I and type II errors</t>
  </si>
  <si>
    <t>Measures of association (ref = 1)</t>
  </si>
  <si>
    <t>Numerator</t>
  </si>
  <si>
    <t>Denominator</t>
  </si>
  <si>
    <t>z(1-α/2)</t>
  </si>
  <si>
    <t>z(1-β)</t>
  </si>
  <si>
    <t>p_weight</t>
  </si>
  <si>
    <r>
      <t>p</t>
    </r>
    <r>
      <rPr>
        <vertAlign val="subscript"/>
        <sz val="9"/>
        <rFont val="Arial"/>
        <family val="2"/>
      </rPr>
      <t xml:space="preserve">1 </t>
    </r>
    <r>
      <rPr>
        <sz val="9"/>
        <rFont val="Arial"/>
        <family val="2"/>
      </rPr>
      <t>=</t>
    </r>
  </si>
  <si>
    <r>
      <t>p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=</t>
    </r>
  </si>
  <si>
    <t>Required sample sizes</t>
  </si>
  <si>
    <t>Sample 1</t>
  </si>
  <si>
    <r>
      <t>n</t>
    </r>
    <r>
      <rPr>
        <vertAlign val="subscript"/>
        <sz val="9"/>
        <rFont val="Arial"/>
        <family val="2"/>
      </rPr>
      <t xml:space="preserve">1 </t>
    </r>
    <r>
      <rPr>
        <sz val="9"/>
        <rFont val="Arial"/>
        <family val="2"/>
      </rPr>
      <t>=</t>
    </r>
  </si>
  <si>
    <t>Sample 2</t>
  </si>
  <si>
    <r>
      <t>n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=</t>
    </r>
  </si>
  <si>
    <r>
      <t>n</t>
    </r>
    <r>
      <rPr>
        <vertAlign val="subscript"/>
        <sz val="9"/>
        <rFont val="Arial"/>
        <family val="2"/>
      </rPr>
      <t xml:space="preserve">1 </t>
    </r>
    <r>
      <rPr>
        <sz val="9"/>
        <rFont val="Arial"/>
        <family val="2"/>
      </rPr>
      <t>+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= </t>
    </r>
  </si>
  <si>
    <t>Continuous outcome</t>
  </si>
  <si>
    <t>Mean in sample 1</t>
  </si>
  <si>
    <t>Mean in sample 2</t>
  </si>
  <si>
    <t>Common standard deviation</t>
  </si>
  <si>
    <r>
      <t>μ</t>
    </r>
    <r>
      <rPr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 =</t>
    </r>
  </si>
  <si>
    <r>
      <t>μ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=</t>
    </r>
  </si>
  <si>
    <t>σ =</t>
  </si>
  <si>
    <r>
      <t>r = n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/ n</t>
    </r>
    <r>
      <rPr>
        <vertAlign val="subscript"/>
        <sz val="9"/>
        <rFont val="Arial"/>
        <family val="2"/>
      </rPr>
      <t>1</t>
    </r>
  </si>
  <si>
    <t>MD</t>
  </si>
  <si>
    <t>Measure of association (ref = 1)</t>
  </si>
  <si>
    <t>K</t>
  </si>
  <si>
    <t>Sample Size</t>
  </si>
  <si>
    <t>Exp. less than 5</t>
  </si>
  <si>
    <t>Number of expected cell counts less than five:</t>
  </si>
  <si>
    <t>Approximate comparison based on the normal distribution</t>
  </si>
  <si>
    <t>Exact comparison based on t-distribution (equal SDs)</t>
  </si>
  <si>
    <t>Exact comparison based on t-distribution (unequal SDs)</t>
  </si>
  <si>
    <t>The following tests are valid only for normal distributed data</t>
  </si>
  <si>
    <t>Description of proportions and odds</t>
  </si>
  <si>
    <t>Description of means and standard deviations</t>
  </si>
  <si>
    <t>Description of incidence rates</t>
  </si>
  <si>
    <t>Desc. of mean based on normal distribution</t>
  </si>
  <si>
    <t>Desc. of mean based on t-distribution*</t>
  </si>
  <si>
    <r>
      <t xml:space="preserve">* Valid </t>
    </r>
    <r>
      <rPr>
        <b/>
        <sz val="10"/>
        <rFont val="Arial"/>
        <family val="2"/>
      </rPr>
      <t>only</t>
    </r>
    <r>
      <rPr>
        <sz val="10"/>
        <rFont val="Arial"/>
        <family val="2"/>
      </rPr>
      <t xml:space="preserve"> for normal distributed data.</t>
    </r>
  </si>
  <si>
    <r>
      <t>Desc. of SD based on chi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-distribution*</t>
    </r>
  </si>
  <si>
    <t>95% PI*</t>
  </si>
  <si>
    <t>Comparison of risks/proportions and odds by the risk difference, risk ratio, and odds ratio.</t>
  </si>
  <si>
    <t>Risk/proportion difference</t>
  </si>
  <si>
    <t>Relative risk/proportion</t>
  </si>
  <si>
    <t>1) EpiBasic_vX.X.xlsx  (this workbook)</t>
  </si>
  <si>
    <t>2) EpiBasic_vX.X.pdf  (help and documentation)</t>
  </si>
  <si>
    <t>Mean difference</t>
  </si>
  <si>
    <t>df denominator</t>
  </si>
  <si>
    <t>Ratio of standard deviations</t>
  </si>
  <si>
    <t>For the tests to be valid, no more than 20% of all cells may have an expected cell count less than five.</t>
  </si>
  <si>
    <t>Correlations</t>
  </si>
  <si>
    <t>Correlation</t>
  </si>
  <si>
    <t>Confidence interval and test for Pearson's correlation coefficient</t>
  </si>
  <si>
    <t>Test for no correlation</t>
  </si>
  <si>
    <t>Coefficient of determination</t>
  </si>
  <si>
    <r>
      <t>R</t>
    </r>
    <r>
      <rPr>
        <vertAlign val="superscript"/>
        <sz val="9"/>
        <rFont val="Arial"/>
        <family val="2"/>
      </rPr>
      <t>2</t>
    </r>
  </si>
  <si>
    <t>They contain intermediate calculations on logarithmic scale or Fisher's z-transformation for correlations.</t>
  </si>
  <si>
    <t>½</t>
  </si>
  <si>
    <t>EpiBasic v5.0 (2023)</t>
  </si>
  <si>
    <t>https://ph.medarbejdere.au.dk/undervisning/software/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</si>
</sst>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0.0000"/>
    <numFmt numFmtId="166" formatCode="0.00000"/>
    <numFmt numFmtId="167" formatCode="0.000"/>
    <numFmt numFmtId="168" formatCode="0.000000"/>
    <numFmt numFmtId="169" formatCode="#,##0.000"/>
    <numFmt numFmtId="170" formatCode="#,##0.0000"/>
    <numFmt numFmtId="171" formatCode="0.000%"/>
    <numFmt numFmtId="172" formatCode="#,##0.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9"/>
      <color indexed="55"/>
      <name val="Arial"/>
      <family val="2"/>
    </font>
    <font>
      <sz val="9"/>
      <name val="Calibri"/>
      <family val="2"/>
    </font>
    <font>
      <vertAlign val="superscript"/>
      <sz val="9"/>
      <name val="Arial"/>
      <family val="2"/>
    </font>
    <font>
      <b/>
      <u/>
      <sz val="9"/>
      <color indexed="12"/>
      <name val="Arial"/>
      <family val="2"/>
    </font>
    <font>
      <i/>
      <vertAlign val="superscript"/>
      <sz val="9"/>
      <name val="Arial"/>
      <family val="2"/>
    </font>
    <font>
      <i/>
      <vertAlign val="superscript"/>
      <sz val="10"/>
      <name val="Arial"/>
      <family val="2"/>
    </font>
    <font>
      <i/>
      <sz val="10"/>
      <name val="Times New Roman"/>
      <family val="1"/>
    </font>
    <font>
      <vertAlign val="sub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73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165" fontId="4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2" fontId="0" fillId="0" borderId="0" xfId="0" applyNumberFormat="1"/>
    <xf numFmtId="168" fontId="0" fillId="0" borderId="0" xfId="0" applyNumberFormat="1"/>
    <xf numFmtId="1" fontId="0" fillId="0" borderId="0" xfId="0" applyNumberFormat="1" applyAlignment="1">
      <alignment horizontal="center"/>
    </xf>
    <xf numFmtId="0" fontId="4" fillId="0" borderId="0" xfId="0" applyFont="1"/>
    <xf numFmtId="0" fontId="10" fillId="0" borderId="0" xfId="0" applyFont="1"/>
    <xf numFmtId="0" fontId="11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3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67" fontId="10" fillId="0" borderId="4" xfId="0" applyNumberFormat="1" applyFont="1" applyBorder="1" applyAlignment="1">
      <alignment horizontal="center"/>
    </xf>
    <xf numFmtId="168" fontId="12" fillId="0" borderId="3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0" fontId="10" fillId="0" borderId="3" xfId="0" applyFont="1" applyBorder="1"/>
    <xf numFmtId="0" fontId="10" fillId="0" borderId="0" xfId="0" applyFont="1" applyBorder="1" applyAlignment="1">
      <alignment horizontal="right"/>
    </xf>
    <xf numFmtId="3" fontId="10" fillId="0" borderId="4" xfId="0" applyNumberFormat="1" applyFont="1" applyBorder="1" applyAlignment="1">
      <alignment horizontal="center"/>
    </xf>
    <xf numFmtId="2" fontId="10" fillId="2" borderId="17" xfId="0" applyNumberFormat="1" applyFont="1" applyFill="1" applyBorder="1" applyAlignment="1" applyProtection="1">
      <alignment horizontal="center"/>
      <protection locked="0"/>
    </xf>
    <xf numFmtId="2" fontId="10" fillId="2" borderId="18" xfId="0" applyNumberFormat="1" applyFont="1" applyFill="1" applyBorder="1" applyAlignment="1" applyProtection="1">
      <alignment horizontal="center"/>
      <protection locked="0"/>
    </xf>
    <xf numFmtId="2" fontId="10" fillId="2" borderId="19" xfId="0" applyNumberFormat="1" applyFont="1" applyFill="1" applyBorder="1" applyAlignment="1" applyProtection="1">
      <alignment horizontal="center"/>
      <protection locked="0"/>
    </xf>
    <xf numFmtId="49" fontId="10" fillId="0" borderId="3" xfId="0" applyNumberFormat="1" applyFont="1" applyBorder="1" applyAlignment="1">
      <alignment horizontal="center"/>
    </xf>
    <xf numFmtId="49" fontId="10" fillId="2" borderId="20" xfId="0" applyNumberFormat="1" applyFont="1" applyFill="1" applyBorder="1" applyAlignment="1" applyProtection="1">
      <alignment horizontal="center"/>
      <protection locked="0"/>
    </xf>
    <xf numFmtId="49" fontId="10" fillId="2" borderId="21" xfId="0" applyNumberFormat="1" applyFont="1" applyFill="1" applyBorder="1" applyAlignment="1" applyProtection="1">
      <alignment horizontal="center"/>
      <protection locked="0"/>
    </xf>
    <xf numFmtId="49" fontId="10" fillId="2" borderId="22" xfId="0" applyNumberFormat="1" applyFont="1" applyFill="1" applyBorder="1" applyAlignment="1" applyProtection="1">
      <alignment horizontal="center"/>
      <protection locked="0"/>
    </xf>
    <xf numFmtId="2" fontId="10" fillId="2" borderId="23" xfId="0" applyNumberFormat="1" applyFont="1" applyFill="1" applyBorder="1" applyAlignment="1" applyProtection="1">
      <alignment horizontal="center"/>
      <protection locked="0"/>
    </xf>
    <xf numFmtId="49" fontId="10" fillId="2" borderId="24" xfId="0" applyNumberFormat="1" applyFont="1" applyFill="1" applyBorder="1" applyAlignment="1" applyProtection="1">
      <alignment horizontal="center"/>
      <protection locked="0"/>
    </xf>
    <xf numFmtId="1" fontId="10" fillId="0" borderId="2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2" borderId="26" xfId="0" applyNumberFormat="1" applyFont="1" applyFill="1" applyBorder="1" applyAlignment="1" applyProtection="1">
      <alignment horizontal="center"/>
      <protection locked="0"/>
    </xf>
    <xf numFmtId="49" fontId="10" fillId="2" borderId="27" xfId="0" applyNumberFormat="1" applyFont="1" applyFill="1" applyBorder="1" applyAlignment="1" applyProtection="1">
      <alignment horizontal="center"/>
      <protection locked="0"/>
    </xf>
    <xf numFmtId="1" fontId="10" fillId="2" borderId="28" xfId="0" applyNumberFormat="1" applyFont="1" applyFill="1" applyBorder="1" applyAlignment="1" applyProtection="1">
      <alignment horizontal="center"/>
      <protection locked="0"/>
    </xf>
    <xf numFmtId="2" fontId="10" fillId="2" borderId="29" xfId="0" applyNumberFormat="1" applyFont="1" applyFill="1" applyBorder="1" applyAlignment="1" applyProtection="1">
      <alignment horizontal="center"/>
      <protection locked="0"/>
    </xf>
    <xf numFmtId="49" fontId="10" fillId="2" borderId="30" xfId="0" applyNumberFormat="1" applyFont="1" applyFill="1" applyBorder="1" applyAlignment="1" applyProtection="1">
      <alignment horizontal="center"/>
      <protection locked="0"/>
    </xf>
    <xf numFmtId="1" fontId="10" fillId="0" borderId="31" xfId="0" applyNumberFormat="1" applyFont="1" applyBorder="1" applyAlignment="1">
      <alignment horizontal="center"/>
    </xf>
    <xf numFmtId="1" fontId="10" fillId="0" borderId="32" xfId="0" applyNumberFormat="1" applyFont="1" applyBorder="1" applyAlignment="1">
      <alignment horizontal="center"/>
    </xf>
    <xf numFmtId="1" fontId="10" fillId="0" borderId="3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" fontId="10" fillId="2" borderId="34" xfId="0" applyNumberFormat="1" applyFont="1" applyFill="1" applyBorder="1" applyAlignment="1" applyProtection="1">
      <alignment horizontal="center"/>
      <protection locked="0"/>
    </xf>
    <xf numFmtId="1" fontId="10" fillId="2" borderId="35" xfId="0" applyNumberFormat="1" applyFont="1" applyFill="1" applyBorder="1" applyAlignment="1" applyProtection="1">
      <alignment horizontal="center"/>
      <protection locked="0"/>
    </xf>
    <xf numFmtId="1" fontId="10" fillId="2" borderId="36" xfId="0" applyNumberFormat="1" applyFont="1" applyFill="1" applyBorder="1" applyAlignment="1" applyProtection="1">
      <alignment horizontal="center"/>
      <protection locked="0"/>
    </xf>
    <xf numFmtId="1" fontId="10" fillId="2" borderId="37" xfId="0" applyNumberFormat="1" applyFont="1" applyFill="1" applyBorder="1" applyAlignment="1" applyProtection="1">
      <alignment horizontal="center"/>
      <protection locked="0"/>
    </xf>
    <xf numFmtId="1" fontId="10" fillId="2" borderId="38" xfId="0" applyNumberFormat="1" applyFont="1" applyFill="1" applyBorder="1" applyAlignment="1" applyProtection="1">
      <alignment horizontal="center"/>
      <protection locked="0"/>
    </xf>
    <xf numFmtId="1" fontId="10" fillId="2" borderId="39" xfId="0" applyNumberFormat="1" applyFont="1" applyFill="1" applyBorder="1" applyAlignment="1" applyProtection="1">
      <alignment horizontal="center"/>
      <protection locked="0"/>
    </xf>
    <xf numFmtId="1" fontId="10" fillId="2" borderId="40" xfId="0" applyNumberFormat="1" applyFont="1" applyFill="1" applyBorder="1" applyAlignment="1" applyProtection="1">
      <alignment horizontal="center"/>
      <protection locked="0"/>
    </xf>
    <xf numFmtId="1" fontId="10" fillId="2" borderId="41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2" borderId="3" xfId="0" applyFont="1" applyFill="1" applyBorder="1" applyAlignment="1" applyProtection="1">
      <alignment horizontal="center"/>
      <protection locked="0"/>
    </xf>
    <xf numFmtId="165" fontId="13" fillId="0" borderId="0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2" borderId="34" xfId="0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center"/>
      <protection locked="0"/>
    </xf>
    <xf numFmtId="2" fontId="10" fillId="0" borderId="12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0" fillId="2" borderId="39" xfId="0" applyFont="1" applyFill="1" applyBorder="1" applyAlignment="1" applyProtection="1">
      <alignment horizontal="center"/>
      <protection locked="0"/>
    </xf>
    <xf numFmtId="0" fontId="10" fillId="2" borderId="41" xfId="0" applyFont="1" applyFill="1" applyBorder="1" applyAlignment="1" applyProtection="1">
      <alignment horizontal="center"/>
      <protection locked="0"/>
    </xf>
    <xf numFmtId="2" fontId="10" fillId="0" borderId="3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165" fontId="10" fillId="0" borderId="0" xfId="0" applyNumberFormat="1" applyFont="1"/>
    <xf numFmtId="165" fontId="13" fillId="0" borderId="0" xfId="0" applyNumberFormat="1" applyFont="1" applyAlignment="1">
      <alignment horizontal="center"/>
    </xf>
    <xf numFmtId="166" fontId="10" fillId="0" borderId="0" xfId="0" applyNumberFormat="1" applyFont="1"/>
    <xf numFmtId="2" fontId="10" fillId="0" borderId="0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2" fontId="10" fillId="0" borderId="34" xfId="0" applyNumberFormat="1" applyFont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2" fontId="10" fillId="0" borderId="39" xfId="0" applyNumberFormat="1" applyFont="1" applyBorder="1" applyAlignment="1">
      <alignment horizontal="center"/>
    </xf>
    <xf numFmtId="2" fontId="10" fillId="0" borderId="41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7" fontId="10" fillId="0" borderId="3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2" fontId="11" fillId="0" borderId="11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0" borderId="34" xfId="0" applyFont="1" applyFill="1" applyBorder="1" applyAlignment="1" applyProtection="1">
      <alignment horizontal="center"/>
    </xf>
    <xf numFmtId="0" fontId="10" fillId="0" borderId="36" xfId="0" applyFont="1" applyFill="1" applyBorder="1" applyAlignment="1" applyProtection="1">
      <alignment horizontal="center"/>
    </xf>
    <xf numFmtId="2" fontId="11" fillId="0" borderId="6" xfId="0" applyNumberFormat="1" applyFont="1" applyBorder="1" applyAlignment="1">
      <alignment horizontal="center"/>
    </xf>
    <xf numFmtId="0" fontId="10" fillId="0" borderId="39" xfId="0" applyFont="1" applyFill="1" applyBorder="1" applyAlignment="1" applyProtection="1">
      <alignment horizontal="center"/>
    </xf>
    <xf numFmtId="0" fontId="10" fillId="0" borderId="41" xfId="0" applyFont="1" applyFill="1" applyBorder="1" applyAlignment="1" applyProtection="1">
      <alignment horizontal="center"/>
    </xf>
    <xf numFmtId="0" fontId="14" fillId="0" borderId="0" xfId="0" applyFont="1"/>
    <xf numFmtId="169" fontId="10" fillId="0" borderId="0" xfId="0" applyNumberFormat="1" applyFont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13" fillId="0" borderId="0" xfId="0" applyNumberFormat="1" applyFont="1" applyAlignment="1"/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10" fillId="0" borderId="4" xfId="1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164" fontId="10" fillId="0" borderId="0" xfId="1" applyFont="1"/>
    <xf numFmtId="167" fontId="10" fillId="0" borderId="0" xfId="0" applyNumberFormat="1" applyFont="1" applyAlignment="1">
      <alignment horizontal="right"/>
    </xf>
    <xf numFmtId="3" fontId="10" fillId="0" borderId="0" xfId="0" applyNumberFormat="1" applyFont="1" applyFill="1" applyBorder="1" applyAlignment="1" applyProtection="1">
      <alignment horizontal="left"/>
    </xf>
    <xf numFmtId="0" fontId="16" fillId="0" borderId="0" xfId="0" applyFont="1"/>
    <xf numFmtId="0" fontId="10" fillId="3" borderId="3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7" fillId="0" borderId="0" xfId="0" applyFont="1"/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49" xfId="0" applyFont="1" applyBorder="1"/>
    <xf numFmtId="0" fontId="0" fillId="0" borderId="50" xfId="0" applyBorder="1"/>
    <xf numFmtId="0" fontId="10" fillId="0" borderId="5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4" fontId="10" fillId="0" borderId="4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0" fillId="0" borderId="6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2" borderId="42" xfId="0" applyNumberFormat="1" applyFont="1" applyFill="1" applyBorder="1" applyAlignment="1" applyProtection="1">
      <alignment horizontal="center"/>
      <protection locked="0"/>
    </xf>
    <xf numFmtId="0" fontId="10" fillId="2" borderId="26" xfId="0" applyNumberFormat="1" applyFont="1" applyFill="1" applyBorder="1" applyAlignment="1" applyProtection="1">
      <alignment horizontal="center"/>
      <protection locked="0"/>
    </xf>
    <xf numFmtId="0" fontId="10" fillId="2" borderId="29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/>
    <xf numFmtId="0" fontId="19" fillId="0" borderId="0" xfId="0" applyFont="1"/>
    <xf numFmtId="165" fontId="10" fillId="0" borderId="7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8" fillId="2" borderId="3" xfId="2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9" xfId="0" applyBorder="1"/>
    <xf numFmtId="0" fontId="0" fillId="2" borderId="3" xfId="0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10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0" fillId="0" borderId="5" xfId="0" applyNumberFormat="1" applyFont="1" applyBorder="1" applyAlignment="1">
      <alignment horizontal="center"/>
    </xf>
    <xf numFmtId="10" fontId="10" fillId="0" borderId="46" xfId="0" applyNumberFormat="1" applyFont="1" applyBorder="1" applyAlignment="1">
      <alignment horizontal="center"/>
    </xf>
    <xf numFmtId="10" fontId="10" fillId="0" borderId="47" xfId="0" applyNumberFormat="1" applyFont="1" applyBorder="1" applyAlignment="1">
      <alignment horizontal="center"/>
    </xf>
    <xf numFmtId="0" fontId="10" fillId="0" borderId="13" xfId="0" applyFont="1" applyBorder="1"/>
    <xf numFmtId="0" fontId="10" fillId="2" borderId="44" xfId="0" applyFont="1" applyFill="1" applyBorder="1" applyProtection="1">
      <protection locked="0"/>
    </xf>
    <xf numFmtId="0" fontId="10" fillId="2" borderId="45" xfId="0" applyFont="1" applyFill="1" applyBorder="1" applyProtection="1">
      <protection locked="0"/>
    </xf>
    <xf numFmtId="0" fontId="10" fillId="0" borderId="2" xfId="0" applyFont="1" applyBorder="1"/>
    <xf numFmtId="165" fontId="10" fillId="2" borderId="26" xfId="0" applyNumberFormat="1" applyFont="1" applyFill="1" applyBorder="1" applyAlignment="1" applyProtection="1">
      <alignment horizontal="center"/>
      <protection locked="0"/>
    </xf>
    <xf numFmtId="165" fontId="10" fillId="2" borderId="29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/>
    <xf numFmtId="165" fontId="10" fillId="0" borderId="15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167" fontId="10" fillId="2" borderId="3" xfId="0" applyNumberFormat="1" applyFont="1" applyFill="1" applyBorder="1" applyAlignment="1" applyProtection="1">
      <alignment horizontal="center"/>
      <protection locked="0"/>
    </xf>
    <xf numFmtId="165" fontId="13" fillId="0" borderId="0" xfId="0" applyNumberFormat="1" applyFont="1"/>
    <xf numFmtId="0" fontId="10" fillId="3" borderId="2" xfId="0" applyFont="1" applyFill="1" applyBorder="1" applyAlignment="1" applyProtection="1">
      <alignment horizontal="center"/>
    </xf>
    <xf numFmtId="165" fontId="13" fillId="0" borderId="11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165" fontId="13" fillId="0" borderId="23" xfId="0" applyNumberFormat="1" applyFont="1" applyBorder="1" applyAlignment="1">
      <alignment horizontal="center"/>
    </xf>
    <xf numFmtId="165" fontId="13" fillId="0" borderId="29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0" fillId="2" borderId="35" xfId="0" applyNumberFormat="1" applyFont="1" applyFill="1" applyBorder="1" applyAlignment="1" applyProtection="1">
      <alignment horizontal="center"/>
      <protection locked="0"/>
    </xf>
    <xf numFmtId="3" fontId="10" fillId="2" borderId="40" xfId="0" applyNumberFormat="1" applyFont="1" applyFill="1" applyBorder="1" applyAlignment="1" applyProtection="1">
      <alignment horizontal="center"/>
      <protection locked="0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10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20" fillId="0" borderId="0" xfId="2" applyFont="1" applyBorder="1" applyAlignment="1" applyProtection="1">
      <alignment horizontal="center"/>
    </xf>
    <xf numFmtId="0" fontId="10" fillId="0" borderId="0" xfId="0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/>
    </xf>
    <xf numFmtId="171" fontId="10" fillId="0" borderId="0" xfId="3" applyNumberFormat="1" applyFont="1" applyAlignment="1">
      <alignment horizontal="left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167" fontId="10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165" fontId="10" fillId="0" borderId="5" xfId="0" applyNumberFormat="1" applyFont="1" applyBorder="1" applyAlignment="1">
      <alignment horizontal="center" vertical="center" wrapText="1"/>
    </xf>
    <xf numFmtId="0" fontId="10" fillId="0" borderId="9" xfId="0" applyFont="1" applyBorder="1"/>
    <xf numFmtId="0" fontId="10" fillId="0" borderId="9" xfId="0" applyFont="1" applyBorder="1" applyAlignment="1">
      <alignment vertical="center" wrapText="1"/>
    </xf>
    <xf numFmtId="0" fontId="10" fillId="2" borderId="23" xfId="0" applyFont="1" applyFill="1" applyBorder="1" applyProtection="1">
      <protection locked="0"/>
    </xf>
    <xf numFmtId="0" fontId="10" fillId="2" borderId="26" xfId="0" applyFont="1" applyFill="1" applyBorder="1" applyProtection="1">
      <protection locked="0"/>
    </xf>
    <xf numFmtId="0" fontId="10" fillId="2" borderId="29" xfId="0" applyFont="1" applyFill="1" applyBorder="1" applyProtection="1">
      <protection locked="0"/>
    </xf>
    <xf numFmtId="0" fontId="10" fillId="0" borderId="5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2" borderId="46" xfId="0" applyNumberFormat="1" applyFont="1" applyFill="1" applyBorder="1" applyAlignment="1" applyProtection="1">
      <alignment horizontal="center"/>
      <protection locked="0"/>
    </xf>
    <xf numFmtId="0" fontId="10" fillId="0" borderId="26" xfId="0" applyNumberFormat="1" applyFont="1" applyBorder="1" applyAlignment="1">
      <alignment horizontal="right"/>
    </xf>
    <xf numFmtId="0" fontId="10" fillId="0" borderId="26" xfId="0" applyNumberFormat="1" applyFont="1" applyBorder="1" applyAlignment="1">
      <alignment horizontal="center"/>
    </xf>
    <xf numFmtId="0" fontId="10" fillId="2" borderId="47" xfId="0" applyNumberFormat="1" applyFont="1" applyFill="1" applyBorder="1" applyAlignment="1" applyProtection="1">
      <alignment horizontal="center"/>
      <protection locked="0"/>
    </xf>
    <xf numFmtId="0" fontId="10" fillId="0" borderId="29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21" fillId="4" borderId="3" xfId="0" applyNumberFormat="1" applyFont="1" applyFill="1" applyBorder="1"/>
    <xf numFmtId="165" fontId="13" fillId="0" borderId="14" xfId="0" applyNumberFormat="1" applyFont="1" applyBorder="1" applyAlignment="1">
      <alignment horizontal="center"/>
    </xf>
    <xf numFmtId="0" fontId="1" fillId="0" borderId="0" xfId="0" applyFont="1"/>
    <xf numFmtId="0" fontId="10" fillId="2" borderId="13" xfId="0" applyFont="1" applyFill="1" applyBorder="1" applyProtection="1">
      <protection locked="0"/>
    </xf>
    <xf numFmtId="0" fontId="10" fillId="2" borderId="16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11" fontId="10" fillId="0" borderId="3" xfId="0" applyNumberFormat="1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0" fillId="0" borderId="4" xfId="0" applyFont="1" applyBorder="1" applyAlignment="1">
      <alignment horizontal="center"/>
    </xf>
    <xf numFmtId="0" fontId="13" fillId="0" borderId="16" xfId="0" applyFont="1" applyBorder="1" applyAlignment="1">
      <alignment horizontal="right"/>
    </xf>
    <xf numFmtId="0" fontId="2" fillId="0" borderId="0" xfId="0" applyFont="1"/>
    <xf numFmtId="0" fontId="10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0" xfId="0" applyFont="1"/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/>
    <xf numFmtId="0" fontId="20" fillId="0" borderId="0" xfId="2" applyFont="1" applyFill="1" applyBorder="1" applyAlignment="1" applyProtection="1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/>
    <xf numFmtId="0" fontId="2" fillId="0" borderId="0" xfId="0" applyFont="1" applyBorder="1" applyAlignment="1"/>
    <xf numFmtId="0" fontId="20" fillId="0" borderId="0" xfId="2" applyFont="1" applyFill="1" applyBorder="1" applyAlignment="1" applyProtection="1">
      <alignment vertical="center" wrapText="1"/>
    </xf>
    <xf numFmtId="165" fontId="10" fillId="0" borderId="6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/>
    <xf numFmtId="0" fontId="10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167" fontId="10" fillId="0" borderId="5" xfId="0" applyNumberFormat="1" applyFont="1" applyBorder="1" applyAlignment="1">
      <alignment horizontal="center"/>
    </xf>
    <xf numFmtId="0" fontId="10" fillId="0" borderId="57" xfId="0" applyFont="1" applyBorder="1"/>
    <xf numFmtId="0" fontId="10" fillId="0" borderId="58" xfId="0" applyFont="1" applyBorder="1"/>
    <xf numFmtId="3" fontId="10" fillId="0" borderId="49" xfId="0" applyNumberFormat="1" applyFont="1" applyBorder="1"/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169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5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0" fontId="10" fillId="0" borderId="0" xfId="0" applyFont="1" applyFill="1" applyBorder="1" applyAlignment="1">
      <alignment vertical="center"/>
    </xf>
    <xf numFmtId="167" fontId="10" fillId="0" borderId="3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65" fontId="10" fillId="2" borderId="23" xfId="0" applyNumberFormat="1" applyFont="1" applyFill="1" applyBorder="1" applyAlignment="1" applyProtection="1">
      <alignment horizontal="center" vertical="center"/>
      <protection locked="0"/>
    </xf>
    <xf numFmtId="167" fontId="10" fillId="0" borderId="3" xfId="3" applyNumberFormat="1" applyFont="1" applyBorder="1" applyAlignment="1">
      <alignment horizontal="center"/>
    </xf>
    <xf numFmtId="165" fontId="10" fillId="2" borderId="3" xfId="0" applyNumberFormat="1" applyFont="1" applyFill="1" applyBorder="1" applyAlignment="1" applyProtection="1">
      <alignment horizontal="center"/>
      <protection locked="0"/>
    </xf>
    <xf numFmtId="167" fontId="13" fillId="0" borderId="0" xfId="0" applyNumberFormat="1" applyFont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8" fillId="0" borderId="0" xfId="2" applyFill="1" applyBorder="1" applyAlignment="1" applyProtection="1">
      <alignment vertical="center"/>
    </xf>
    <xf numFmtId="0" fontId="10" fillId="0" borderId="16" xfId="0" applyFont="1" applyBorder="1"/>
    <xf numFmtId="0" fontId="10" fillId="0" borderId="11" xfId="0" applyFont="1" applyBorder="1"/>
    <xf numFmtId="165" fontId="11" fillId="0" borderId="10" xfId="0" applyNumberFormat="1" applyFont="1" applyBorder="1" applyAlignment="1">
      <alignment horizontal="left"/>
    </xf>
    <xf numFmtId="165" fontId="13" fillId="0" borderId="10" xfId="0" applyNumberFormat="1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70" fontId="10" fillId="0" borderId="8" xfId="0" applyNumberFormat="1" applyFont="1" applyBorder="1" applyAlignment="1">
      <alignment horizontal="center"/>
    </xf>
    <xf numFmtId="170" fontId="10" fillId="0" borderId="1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0" fillId="0" borderId="59" xfId="0" applyFont="1" applyBorder="1"/>
    <xf numFmtId="167" fontId="10" fillId="0" borderId="15" xfId="0" applyNumberFormat="1" applyFont="1" applyBorder="1" applyAlignment="1">
      <alignment horizontal="center"/>
    </xf>
    <xf numFmtId="167" fontId="13" fillId="0" borderId="16" xfId="0" applyNumberFormat="1" applyFont="1" applyBorder="1" applyAlignment="1">
      <alignment horizontal="center"/>
    </xf>
    <xf numFmtId="165" fontId="10" fillId="2" borderId="35" xfId="0" applyNumberFormat="1" applyFont="1" applyFill="1" applyBorder="1" applyAlignment="1" applyProtection="1">
      <alignment horizontal="center"/>
      <protection locked="0"/>
    </xf>
    <xf numFmtId="165" fontId="10" fillId="0" borderId="16" xfId="0" applyNumberFormat="1" applyFont="1" applyBorder="1" applyAlignment="1">
      <alignment horizontal="center"/>
    </xf>
    <xf numFmtId="165" fontId="10" fillId="2" borderId="40" xfId="0" applyNumberFormat="1" applyFont="1" applyFill="1" applyBorder="1" applyAlignment="1" applyProtection="1">
      <alignment horizontal="center"/>
      <protection locked="0"/>
    </xf>
    <xf numFmtId="168" fontId="10" fillId="0" borderId="0" xfId="0" applyNumberFormat="1" applyFont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5" fontId="10" fillId="5" borderId="35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 applyAlignment="1"/>
    <xf numFmtId="165" fontId="10" fillId="0" borderId="4" xfId="0" applyNumberFormat="1" applyFont="1" applyBorder="1"/>
    <xf numFmtId="165" fontId="10" fillId="0" borderId="5" xfId="0" applyNumberFormat="1" applyFont="1" applyBorder="1"/>
    <xf numFmtId="168" fontId="10" fillId="0" borderId="0" xfId="0" applyNumberFormat="1" applyFont="1"/>
    <xf numFmtId="3" fontId="10" fillId="0" borderId="15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165" fontId="10" fillId="3" borderId="16" xfId="0" applyNumberFormat="1" applyFont="1" applyFill="1" applyBorder="1" applyAlignment="1" applyProtection="1">
      <alignment horizontal="center"/>
      <protection locked="0"/>
    </xf>
    <xf numFmtId="165" fontId="10" fillId="3" borderId="15" xfId="0" applyNumberFormat="1" applyFont="1" applyFill="1" applyBorder="1" applyAlignment="1" applyProtection="1">
      <alignment horizontal="center"/>
      <protection locked="0"/>
    </xf>
    <xf numFmtId="165" fontId="10" fillId="3" borderId="10" xfId="0" applyNumberFormat="1" applyFont="1" applyFill="1" applyBorder="1" applyAlignment="1" applyProtection="1">
      <alignment horizontal="center"/>
      <protection locked="0"/>
    </xf>
    <xf numFmtId="0" fontId="24" fillId="0" borderId="0" xfId="2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center"/>
    </xf>
    <xf numFmtId="167" fontId="10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2" fontId="10" fillId="0" borderId="48" xfId="0" applyNumberFormat="1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0" xfId="0" applyFont="1"/>
    <xf numFmtId="0" fontId="10" fillId="0" borderId="0" xfId="0" applyFont="1" applyFill="1" applyBorder="1" applyAlignment="1">
      <alignment horizontal="right"/>
    </xf>
    <xf numFmtId="0" fontId="14" fillId="2" borderId="13" xfId="0" applyFont="1" applyFill="1" applyBorder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14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3" fontId="10" fillId="0" borderId="11" xfId="0" applyNumberFormat="1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72" fontId="10" fillId="2" borderId="36" xfId="1" applyNumberFormat="1" applyFont="1" applyFill="1" applyBorder="1" applyAlignment="1" applyProtection="1">
      <alignment horizontal="center"/>
      <protection locked="0"/>
    </xf>
    <xf numFmtId="172" fontId="10" fillId="2" borderId="41" xfId="1" applyNumberFormat="1" applyFont="1" applyFill="1" applyBorder="1" applyAlignment="1" applyProtection="1">
      <alignment horizontal="center"/>
      <protection locked="0"/>
    </xf>
    <xf numFmtId="172" fontId="10" fillId="2" borderId="28" xfId="0" applyNumberFormat="1" applyFont="1" applyFill="1" applyBorder="1" applyAlignment="1" applyProtection="1">
      <alignment horizontal="center"/>
      <protection locked="0"/>
    </xf>
    <xf numFmtId="172" fontId="10" fillId="2" borderId="3" xfId="4" applyNumberFormat="1" applyFont="1" applyFill="1" applyBorder="1" applyAlignment="1" applyProtection="1">
      <alignment horizontal="center"/>
      <protection locked="0"/>
    </xf>
    <xf numFmtId="164" fontId="10" fillId="0" borderId="0" xfId="1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165" fontId="13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0" fillId="0" borderId="0" xfId="2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left" indent="2"/>
    </xf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165" fontId="10" fillId="0" borderId="2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0" xfId="0" applyFont="1"/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4" fontId="10" fillId="0" borderId="3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2" fontId="10" fillId="2" borderId="3" xfId="0" applyNumberFormat="1" applyFont="1" applyFill="1" applyBorder="1" applyAlignment="1" applyProtection="1">
      <alignment horizontal="center"/>
      <protection locked="0"/>
    </xf>
    <xf numFmtId="2" fontId="10" fillId="0" borderId="23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2" fontId="10" fillId="0" borderId="56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167" fontId="10" fillId="0" borderId="7" xfId="0" applyNumberFormat="1" applyFont="1" applyBorder="1" applyAlignment="1">
      <alignment horizontal="center"/>
    </xf>
    <xf numFmtId="167" fontId="10" fillId="0" borderId="11" xfId="0" applyNumberFormat="1" applyFont="1" applyBorder="1" applyAlignment="1">
      <alignment horizontal="center"/>
    </xf>
    <xf numFmtId="167" fontId="10" fillId="0" borderId="6" xfId="0" applyNumberFormat="1" applyFont="1" applyBorder="1" applyAlignment="1">
      <alignment horizontal="center"/>
    </xf>
    <xf numFmtId="167" fontId="10" fillId="0" borderId="8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5" fontId="13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165" fontId="10" fillId="2" borderId="27" xfId="0" applyNumberFormat="1" applyFont="1" applyFill="1" applyBorder="1" applyAlignment="1" applyProtection="1">
      <alignment horizontal="center"/>
      <protection locked="0"/>
    </xf>
    <xf numFmtId="165" fontId="10" fillId="2" borderId="55" xfId="0" applyNumberFormat="1" applyFont="1" applyFill="1" applyBorder="1" applyAlignment="1" applyProtection="1">
      <alignment horizontal="center"/>
      <protection locked="0"/>
    </xf>
    <xf numFmtId="165" fontId="10" fillId="0" borderId="11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0" fillId="2" borderId="43" xfId="0" applyNumberFormat="1" applyFont="1" applyFill="1" applyBorder="1" applyAlignment="1" applyProtection="1">
      <alignment horizontal="center"/>
      <protection locked="0"/>
    </xf>
    <xf numFmtId="165" fontId="10" fillId="2" borderId="44" xfId="0" applyNumberFormat="1" applyFont="1" applyFill="1" applyBorder="1" applyAlignment="1" applyProtection="1">
      <alignment horizontal="center"/>
      <protection locked="0"/>
    </xf>
    <xf numFmtId="165" fontId="10" fillId="2" borderId="45" xfId="0" applyNumberFormat="1" applyFont="1" applyFill="1" applyBorder="1" applyAlignment="1" applyProtection="1">
      <alignment horizontal="center"/>
      <protection locked="0"/>
    </xf>
    <xf numFmtId="167" fontId="1" fillId="0" borderId="13" xfId="0" applyNumberFormat="1" applyFon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0" fillId="2" borderId="43" xfId="0" applyFont="1" applyFill="1" applyBorder="1" applyProtection="1">
      <protection locked="0"/>
    </xf>
    <xf numFmtId="0" fontId="10" fillId="2" borderId="25" xfId="0" applyNumberFormat="1" applyFont="1" applyFill="1" applyBorder="1" applyAlignment="1" applyProtection="1">
      <alignment horizontal="center"/>
      <protection locked="0"/>
    </xf>
    <xf numFmtId="0" fontId="10" fillId="0" borderId="42" xfId="0" applyNumberFormat="1" applyFont="1" applyBorder="1" applyAlignment="1">
      <alignment horizontal="right"/>
    </xf>
    <xf numFmtId="10" fontId="10" fillId="0" borderId="25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167" fontId="10" fillId="2" borderId="43" xfId="0" applyNumberFormat="1" applyFont="1" applyFill="1" applyBorder="1" applyAlignment="1" applyProtection="1">
      <alignment horizontal="center"/>
      <protection locked="0"/>
    </xf>
    <xf numFmtId="167" fontId="10" fillId="2" borderId="44" xfId="0" applyNumberFormat="1" applyFont="1" applyFill="1" applyBorder="1" applyAlignment="1" applyProtection="1">
      <alignment horizontal="center"/>
      <protection locked="0"/>
    </xf>
    <xf numFmtId="167" fontId="10" fillId="2" borderId="45" xfId="0" applyNumberFormat="1" applyFont="1" applyFill="1" applyBorder="1" applyAlignment="1" applyProtection="1">
      <alignment horizontal="center"/>
      <protection locked="0"/>
    </xf>
    <xf numFmtId="167" fontId="10" fillId="2" borderId="42" xfId="0" applyNumberFormat="1" applyFont="1" applyFill="1" applyBorder="1" applyAlignment="1" applyProtection="1">
      <alignment horizontal="center"/>
      <protection locked="0"/>
    </xf>
    <xf numFmtId="167" fontId="12" fillId="3" borderId="42" xfId="0" applyNumberFormat="1" applyFont="1" applyFill="1" applyBorder="1" applyAlignment="1" applyProtection="1">
      <alignment horizontal="center"/>
    </xf>
    <xf numFmtId="167" fontId="10" fillId="0" borderId="0" xfId="0" applyNumberFormat="1" applyFont="1"/>
    <xf numFmtId="167" fontId="10" fillId="0" borderId="42" xfId="0" applyNumberFormat="1" applyFont="1" applyBorder="1" applyAlignment="1">
      <alignment horizontal="center"/>
    </xf>
    <xf numFmtId="167" fontId="10" fillId="2" borderId="26" xfId="0" applyNumberFormat="1" applyFont="1" applyFill="1" applyBorder="1" applyAlignment="1" applyProtection="1">
      <alignment horizontal="center"/>
      <protection locked="0"/>
    </xf>
    <xf numFmtId="167" fontId="10" fillId="0" borderId="26" xfId="0" applyNumberFormat="1" applyFont="1" applyBorder="1" applyAlignment="1">
      <alignment horizontal="center"/>
    </xf>
    <xf numFmtId="167" fontId="10" fillId="2" borderId="29" xfId="0" applyNumberFormat="1" applyFont="1" applyFill="1" applyBorder="1" applyAlignment="1" applyProtection="1">
      <alignment horizontal="center"/>
      <protection locked="0"/>
    </xf>
    <xf numFmtId="167" fontId="10" fillId="0" borderId="29" xfId="0" applyNumberFormat="1" applyFont="1" applyBorder="1" applyAlignment="1">
      <alignment horizontal="center"/>
    </xf>
    <xf numFmtId="167" fontId="10" fillId="0" borderId="9" xfId="0" applyNumberFormat="1" applyFont="1" applyBorder="1" applyAlignment="1">
      <alignment horizontal="center"/>
    </xf>
    <xf numFmtId="167" fontId="10" fillId="0" borderId="25" xfId="0" applyNumberFormat="1" applyFont="1" applyBorder="1" applyAlignment="1">
      <alignment horizontal="center"/>
    </xf>
    <xf numFmtId="167" fontId="10" fillId="0" borderId="46" xfId="0" applyNumberFormat="1" applyFont="1" applyBorder="1" applyAlignment="1">
      <alignment horizontal="center"/>
    </xf>
    <xf numFmtId="167" fontId="10" fillId="0" borderId="47" xfId="0" applyNumberFormat="1" applyFont="1" applyBorder="1" applyAlignment="1">
      <alignment horizontal="center"/>
    </xf>
    <xf numFmtId="167" fontId="10" fillId="0" borderId="23" xfId="0" applyNumberFormat="1" applyFont="1" applyBorder="1" applyAlignment="1">
      <alignment horizontal="center"/>
    </xf>
    <xf numFmtId="167" fontId="10" fillId="2" borderId="48" xfId="0" applyNumberFormat="1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>
      <alignment horizontal="center"/>
    </xf>
    <xf numFmtId="165" fontId="11" fillId="0" borderId="14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3" fontId="10" fillId="2" borderId="34" xfId="0" applyNumberFormat="1" applyFont="1" applyFill="1" applyBorder="1" applyAlignment="1" applyProtection="1">
      <alignment horizontal="center"/>
      <protection locked="0"/>
    </xf>
    <xf numFmtId="165" fontId="10" fillId="5" borderId="36" xfId="0" applyNumberFormat="1" applyFont="1" applyFill="1" applyBorder="1" applyAlignment="1" applyProtection="1">
      <alignment horizontal="center"/>
      <protection locked="0"/>
    </xf>
    <xf numFmtId="3" fontId="10" fillId="2" borderId="39" xfId="0" applyNumberFormat="1" applyFont="1" applyFill="1" applyBorder="1" applyAlignment="1" applyProtection="1">
      <alignment horizontal="center"/>
      <protection locked="0"/>
    </xf>
    <xf numFmtId="165" fontId="10" fillId="2" borderId="41" xfId="0" applyNumberFormat="1" applyFont="1" applyFill="1" applyBorder="1" applyAlignment="1" applyProtection="1">
      <alignment horizontal="center"/>
      <protection locked="0"/>
    </xf>
    <xf numFmtId="165" fontId="10" fillId="0" borderId="23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10" fillId="0" borderId="48" xfId="0" applyNumberFormat="1" applyFont="1" applyBorder="1" applyAlignment="1">
      <alignment horizontal="center"/>
    </xf>
    <xf numFmtId="165" fontId="10" fillId="0" borderId="34" xfId="0" applyNumberFormat="1" applyFont="1" applyBorder="1" applyAlignment="1">
      <alignment horizontal="center"/>
    </xf>
    <xf numFmtId="165" fontId="10" fillId="0" borderId="36" xfId="0" applyNumberFormat="1" applyFont="1" applyBorder="1" applyAlignment="1">
      <alignment horizontal="center"/>
    </xf>
    <xf numFmtId="165" fontId="10" fillId="0" borderId="45" xfId="0" applyNumberFormat="1" applyFont="1" applyBorder="1" applyAlignment="1">
      <alignment horizontal="center"/>
    </xf>
    <xf numFmtId="165" fontId="10" fillId="0" borderId="41" xfId="0" applyNumberFormat="1" applyFont="1" applyBorder="1" applyAlignment="1">
      <alignment horizontal="center"/>
    </xf>
    <xf numFmtId="165" fontId="10" fillId="0" borderId="6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9" xfId="2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165" fontId="10" fillId="2" borderId="42" xfId="0" applyNumberFormat="1" applyFont="1" applyFill="1" applyBorder="1" applyAlignment="1" applyProtection="1">
      <alignment horizontal="center"/>
      <protection locked="0"/>
    </xf>
    <xf numFmtId="165" fontId="10" fillId="2" borderId="25" xfId="0" applyNumberFormat="1" applyFont="1" applyFill="1" applyBorder="1" applyAlignment="1" applyProtection="1">
      <alignment horizontal="center"/>
      <protection locked="0"/>
    </xf>
    <xf numFmtId="165" fontId="10" fillId="2" borderId="46" xfId="0" applyNumberFormat="1" applyFont="1" applyFill="1" applyBorder="1" applyAlignment="1" applyProtection="1">
      <alignment horizontal="center"/>
      <protection locked="0"/>
    </xf>
    <xf numFmtId="165" fontId="10" fillId="2" borderId="47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167" fontId="10" fillId="0" borderId="9" xfId="0" applyNumberFormat="1" applyFont="1" applyBorder="1" applyAlignment="1">
      <alignment horizontal="center" vertical="center"/>
    </xf>
    <xf numFmtId="167" fontId="10" fillId="0" borderId="8" xfId="0" applyNumberFormat="1" applyFont="1" applyBorder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center" vertical="center"/>
    </xf>
    <xf numFmtId="167" fontId="10" fillId="2" borderId="3" xfId="0" applyNumberFormat="1" applyFont="1" applyFill="1" applyBorder="1" applyAlignment="1" applyProtection="1">
      <alignment horizontal="center" vertical="center"/>
      <protection locked="0"/>
    </xf>
    <xf numFmtId="167" fontId="10" fillId="0" borderId="12" xfId="0" applyNumberFormat="1" applyFont="1" applyBorder="1" applyAlignment="1">
      <alignment horizontal="center"/>
    </xf>
    <xf numFmtId="167" fontId="10" fillId="0" borderId="13" xfId="0" applyNumberFormat="1" applyFont="1" applyBorder="1" applyAlignment="1">
      <alignment horizontal="center"/>
    </xf>
    <xf numFmtId="167" fontId="10" fillId="0" borderId="14" xfId="0" applyNumberFormat="1" applyFont="1" applyBorder="1" applyAlignment="1">
      <alignment horizontal="center"/>
    </xf>
    <xf numFmtId="167" fontId="10" fillId="0" borderId="10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10" fillId="0" borderId="0" xfId="0" applyFont="1" applyAlignment="1"/>
    <xf numFmtId="0" fontId="0" fillId="0" borderId="16" xfId="0" applyBorder="1"/>
    <xf numFmtId="165" fontId="11" fillId="0" borderId="12" xfId="0" applyNumberFormat="1" applyFont="1" applyBorder="1" applyAlignment="1">
      <alignment horizontal="center"/>
    </xf>
    <xf numFmtId="165" fontId="10" fillId="0" borderId="39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10" fillId="0" borderId="61" xfId="0" applyNumberFormat="1" applyFont="1" applyBorder="1" applyAlignment="1">
      <alignment horizontal="center"/>
    </xf>
    <xf numFmtId="165" fontId="10" fillId="0" borderId="62" xfId="0" applyNumberFormat="1" applyFont="1" applyBorder="1" applyAlignment="1">
      <alignment horizontal="center"/>
    </xf>
    <xf numFmtId="165" fontId="10" fillId="0" borderId="63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3" fillId="0" borderId="0" xfId="0" applyFont="1" applyAlignment="1"/>
    <xf numFmtId="0" fontId="10" fillId="0" borderId="0" xfId="0" applyFont="1" applyBorder="1" applyAlignment="1">
      <alignment vertical="center"/>
    </xf>
    <xf numFmtId="0" fontId="13" fillId="0" borderId="0" xfId="0" applyFont="1" applyBorder="1" applyAlignment="1"/>
    <xf numFmtId="0" fontId="14" fillId="0" borderId="0" xfId="0" applyFont="1" applyBorder="1" applyAlignment="1"/>
    <xf numFmtId="0" fontId="10" fillId="0" borderId="4" xfId="0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0" fillId="0" borderId="16" xfId="0" applyFont="1" applyBorder="1" applyAlignment="1"/>
    <xf numFmtId="165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Fill="1" applyBorder="1"/>
    <xf numFmtId="0" fontId="2" fillId="0" borderId="0" xfId="0" applyFont="1" applyBorder="1" applyAlignment="1">
      <alignment vertical="top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0" fontId="14" fillId="0" borderId="10" xfId="0" applyFont="1" applyBorder="1"/>
    <xf numFmtId="165" fontId="10" fillId="0" borderId="5" xfId="0" applyNumberFormat="1" applyFont="1" applyBorder="1" applyAlignment="1">
      <alignment horizontal="left"/>
    </xf>
    <xf numFmtId="165" fontId="10" fillId="0" borderId="4" xfId="0" applyNumberFormat="1" applyFont="1" applyBorder="1" applyAlignment="1">
      <alignment horizontal="left"/>
    </xf>
    <xf numFmtId="165" fontId="10" fillId="3" borderId="1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/>
    <xf numFmtId="0" fontId="10" fillId="5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2" applyFill="1" applyBorder="1" applyAlignment="1" applyProtection="1">
      <alignment horizontal="center" vertical="center" wrapText="1"/>
    </xf>
    <xf numFmtId="0" fontId="2" fillId="0" borderId="10" xfId="0" applyFont="1" applyBorder="1"/>
    <xf numFmtId="0" fontId="8" fillId="0" borderId="0" xfId="2" applyAlignment="1" applyProtection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14" fillId="0" borderId="0" xfId="0" applyNumberFormat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1" fillId="0" borderId="10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14" fillId="0" borderId="10" xfId="0" applyNumberFormat="1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166" fontId="14" fillId="0" borderId="10" xfId="0" applyNumberFormat="1" applyFont="1" applyBorder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4" fillId="0" borderId="0" xfId="0" applyFont="1"/>
    <xf numFmtId="0" fontId="16" fillId="0" borderId="0" xfId="0" applyFont="1" applyFill="1" applyBorder="1" applyAlignment="1">
      <alignment horizontal="righ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1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10">
    <dxf>
      <font>
        <b/>
        <i val="0"/>
      </font>
      <fill>
        <patternFill>
          <bgColor rgb="FFFF5757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0"/>
  <sheetViews>
    <sheetView tabSelected="1" workbookViewId="0">
      <selection activeCell="I39" sqref="I39"/>
    </sheetView>
  </sheetViews>
  <sheetFormatPr defaultRowHeight="12.75" x14ac:dyDescent="0.2"/>
  <cols>
    <col min="1" max="1" width="16.7109375" customWidth="1"/>
    <col min="2" max="2" width="5.7109375" customWidth="1"/>
    <col min="3" max="3" width="11.28515625" customWidth="1"/>
    <col min="4" max="4" width="5.7109375" customWidth="1"/>
    <col min="5" max="5" width="11.5703125" customWidth="1"/>
    <col min="6" max="6" width="5.7109375" customWidth="1"/>
    <col min="7" max="7" width="10.7109375" customWidth="1"/>
    <col min="8" max="8" width="12.140625" customWidth="1"/>
    <col min="9" max="9" width="14.28515625" customWidth="1"/>
  </cols>
  <sheetData>
    <row r="1" spans="1:11" ht="23.25" x14ac:dyDescent="0.35">
      <c r="A1" s="669" t="s">
        <v>339</v>
      </c>
      <c r="B1" s="669"/>
      <c r="C1" s="669"/>
      <c r="D1" s="669"/>
      <c r="E1" s="669"/>
      <c r="F1" s="669"/>
      <c r="G1" s="669"/>
      <c r="H1" s="669"/>
      <c r="I1" s="669"/>
    </row>
    <row r="2" spans="1:11" ht="15" x14ac:dyDescent="0.2">
      <c r="A2" s="670" t="s">
        <v>164</v>
      </c>
      <c r="B2" s="670"/>
      <c r="C2" s="670"/>
      <c r="D2" s="670"/>
      <c r="E2" s="670"/>
      <c r="F2" s="670"/>
      <c r="G2" s="670"/>
      <c r="H2" s="670"/>
      <c r="I2" s="670"/>
    </row>
    <row r="3" spans="1:11" ht="15" x14ac:dyDescent="0.2">
      <c r="A3" s="670" t="s">
        <v>163</v>
      </c>
      <c r="B3" s="670"/>
      <c r="C3" s="670"/>
      <c r="D3" s="670"/>
      <c r="E3" s="670"/>
      <c r="F3" s="670"/>
      <c r="G3" s="670"/>
      <c r="H3" s="670"/>
      <c r="I3" s="670"/>
    </row>
    <row r="6" spans="1:11" ht="12.75" customHeight="1" x14ac:dyDescent="0.2">
      <c r="A6" t="s">
        <v>165</v>
      </c>
    </row>
    <row r="7" spans="1:11" x14ac:dyDescent="0.2">
      <c r="A7" s="672" t="s">
        <v>56</v>
      </c>
      <c r="B7" s="672"/>
      <c r="C7" s="672"/>
      <c r="D7" s="672"/>
      <c r="E7" s="201" t="s">
        <v>57</v>
      </c>
      <c r="F7" s="671" t="s">
        <v>58</v>
      </c>
      <c r="G7" s="671"/>
    </row>
    <row r="8" spans="1:11" x14ac:dyDescent="0.2">
      <c r="A8" s="173"/>
      <c r="B8" s="173"/>
      <c r="C8" s="173"/>
      <c r="D8" s="173"/>
      <c r="F8" s="172"/>
      <c r="G8" s="172"/>
    </row>
    <row r="9" spans="1:11" x14ac:dyDescent="0.2">
      <c r="A9" s="671" t="s">
        <v>169</v>
      </c>
      <c r="B9" s="671"/>
      <c r="C9" s="671"/>
      <c r="D9" s="671"/>
      <c r="E9" s="671"/>
      <c r="F9" s="671"/>
      <c r="G9" s="671"/>
      <c r="H9" s="671"/>
      <c r="I9" s="671"/>
    </row>
    <row r="10" spans="1:11" x14ac:dyDescent="0.2">
      <c r="A10" s="674" t="s">
        <v>96</v>
      </c>
      <c r="B10" s="671"/>
      <c r="C10" s="671"/>
      <c r="D10" s="671"/>
      <c r="E10" s="671"/>
      <c r="F10" s="671"/>
      <c r="G10" s="671"/>
      <c r="H10" s="671"/>
      <c r="I10" s="671"/>
    </row>
    <row r="11" spans="1:11" x14ac:dyDescent="0.2">
      <c r="A11" s="674" t="s">
        <v>97</v>
      </c>
      <c r="B11" s="671"/>
      <c r="C11" s="671"/>
      <c r="D11" s="671"/>
      <c r="E11" s="671"/>
      <c r="F11" s="671"/>
      <c r="G11" s="671"/>
      <c r="H11" s="671"/>
      <c r="I11" s="671"/>
    </row>
    <row r="12" spans="1:11" x14ac:dyDescent="0.2">
      <c r="A12" s="674" t="s">
        <v>98</v>
      </c>
      <c r="B12" s="671"/>
      <c r="C12" s="671"/>
      <c r="D12" s="671"/>
      <c r="E12" s="671"/>
      <c r="F12" s="671"/>
      <c r="G12" s="671"/>
      <c r="H12" s="671"/>
      <c r="I12" s="671"/>
    </row>
    <row r="13" spans="1:11" x14ac:dyDescent="0.2">
      <c r="A13" s="674" t="s">
        <v>105</v>
      </c>
      <c r="B13" s="671"/>
      <c r="C13" s="671"/>
      <c r="D13" s="671"/>
      <c r="E13" s="671"/>
      <c r="F13" s="671"/>
      <c r="G13" s="671"/>
      <c r="H13" s="671"/>
      <c r="I13" s="671"/>
    </row>
    <row r="14" spans="1:11" ht="14.1" customHeight="1" x14ac:dyDescent="0.2">
      <c r="A14" s="10"/>
      <c r="B14" s="12"/>
      <c r="C14" s="183"/>
      <c r="D14" s="10"/>
      <c r="E14" s="183"/>
      <c r="F14" s="10"/>
      <c r="G14" s="183"/>
      <c r="H14" s="10"/>
      <c r="I14" s="183"/>
    </row>
    <row r="15" spans="1:11" ht="17.25" customHeight="1" x14ac:dyDescent="0.2">
      <c r="A15" s="12"/>
      <c r="B15" s="12"/>
      <c r="C15" s="287" t="s">
        <v>167</v>
      </c>
      <c r="D15" s="287"/>
      <c r="E15" s="287" t="s">
        <v>166</v>
      </c>
      <c r="F15" s="287"/>
      <c r="G15" s="673" t="s">
        <v>231</v>
      </c>
      <c r="H15" s="673"/>
      <c r="I15" s="568"/>
      <c r="K15" s="468"/>
    </row>
    <row r="16" spans="1:11" ht="24.95" customHeight="1" x14ac:dyDescent="0.2">
      <c r="A16" s="284" t="s">
        <v>27</v>
      </c>
      <c r="B16" s="12"/>
      <c r="C16" s="198" t="s">
        <v>234</v>
      </c>
      <c r="D16" s="11"/>
      <c r="E16" s="198" t="s">
        <v>237</v>
      </c>
      <c r="F16" s="11"/>
      <c r="G16" s="571" t="s">
        <v>261</v>
      </c>
      <c r="H16" s="578"/>
      <c r="I16" s="568"/>
    </row>
    <row r="17" spans="1:11" ht="24.95" customHeight="1" x14ac:dyDescent="0.2">
      <c r="A17" s="284" t="s">
        <v>28</v>
      </c>
      <c r="B17" s="12"/>
      <c r="C17" s="198" t="s">
        <v>235</v>
      </c>
      <c r="D17" s="12"/>
      <c r="E17" s="198" t="s">
        <v>233</v>
      </c>
      <c r="F17" s="12"/>
      <c r="G17" s="198" t="s">
        <v>270</v>
      </c>
      <c r="H17" s="198" t="s">
        <v>89</v>
      </c>
      <c r="I17" s="568"/>
    </row>
    <row r="18" spans="1:11" ht="24.95" customHeight="1" x14ac:dyDescent="0.2">
      <c r="A18" s="284" t="s">
        <v>29</v>
      </c>
      <c r="B18" s="12"/>
      <c r="C18" s="198" t="s">
        <v>235</v>
      </c>
      <c r="D18" s="12"/>
      <c r="E18" s="198" t="s">
        <v>233</v>
      </c>
      <c r="F18" s="12"/>
      <c r="G18" s="198" t="s">
        <v>90</v>
      </c>
      <c r="H18" s="198" t="s">
        <v>245</v>
      </c>
      <c r="I18" s="568"/>
    </row>
    <row r="19" spans="1:11" ht="24.95" customHeight="1" x14ac:dyDescent="0.2">
      <c r="A19" s="284" t="s">
        <v>30</v>
      </c>
      <c r="B19" s="12"/>
      <c r="C19" s="198" t="s">
        <v>236</v>
      </c>
      <c r="D19" s="12"/>
      <c r="E19" s="198" t="s">
        <v>238</v>
      </c>
      <c r="F19" s="12"/>
      <c r="G19" s="198" t="s">
        <v>91</v>
      </c>
      <c r="H19" s="579"/>
      <c r="I19" s="568"/>
    </row>
    <row r="20" spans="1:11" ht="24.95" customHeight="1" x14ac:dyDescent="0.2">
      <c r="A20" s="286" t="s">
        <v>230</v>
      </c>
      <c r="B20" s="10"/>
      <c r="C20" s="10"/>
      <c r="D20" s="10"/>
      <c r="E20" s="10"/>
      <c r="F20" s="10"/>
      <c r="G20" s="198" t="s">
        <v>246</v>
      </c>
      <c r="H20" s="198" t="s">
        <v>244</v>
      </c>
      <c r="I20" s="10"/>
    </row>
    <row r="21" spans="1:11" ht="24.95" customHeight="1" x14ac:dyDescent="0.2">
      <c r="A21" s="569"/>
      <c r="B21" s="569"/>
      <c r="C21" s="570"/>
      <c r="D21" s="12"/>
      <c r="E21" s="10"/>
      <c r="F21" s="10"/>
      <c r="G21" s="10"/>
      <c r="H21" s="10"/>
      <c r="I21" s="10"/>
    </row>
    <row r="22" spans="1:11" ht="24.95" customHeight="1" x14ac:dyDescent="0.2">
      <c r="A22" s="286" t="s">
        <v>168</v>
      </c>
      <c r="B22" s="10"/>
      <c r="C22" s="198" t="s">
        <v>99</v>
      </c>
      <c r="D22" s="10"/>
      <c r="E22" s="10"/>
      <c r="F22" s="10"/>
      <c r="G22" s="10"/>
      <c r="H22" s="10"/>
      <c r="I22" s="10"/>
    </row>
    <row r="23" spans="1:11" s="470" customFormat="1" ht="24.95" customHeight="1" x14ac:dyDescent="0.2">
      <c r="A23" s="286"/>
      <c r="B23" s="10"/>
      <c r="C23" s="666"/>
      <c r="D23" s="10"/>
      <c r="E23" s="10"/>
      <c r="F23" s="10"/>
      <c r="G23" s="10"/>
      <c r="H23" s="10"/>
      <c r="I23" s="10"/>
    </row>
    <row r="24" spans="1:11" s="470" customFormat="1" ht="24.95" customHeight="1" x14ac:dyDescent="0.2">
      <c r="A24" s="286" t="s">
        <v>331</v>
      </c>
      <c r="B24" s="10"/>
      <c r="C24" s="198" t="s">
        <v>331</v>
      </c>
      <c r="D24" s="10"/>
      <c r="E24" s="10"/>
      <c r="F24" s="10"/>
      <c r="G24" s="10"/>
      <c r="H24" s="10"/>
      <c r="I24" s="10"/>
    </row>
    <row r="25" spans="1:11" ht="24.95" customHeight="1" x14ac:dyDescent="0.2">
      <c r="A25" s="285"/>
      <c r="B25" s="10"/>
      <c r="C25" s="10"/>
      <c r="D25" s="10"/>
      <c r="E25" s="10"/>
      <c r="F25" s="10"/>
      <c r="G25" s="10"/>
      <c r="H25" s="10"/>
      <c r="I25" s="10"/>
    </row>
    <row r="26" spans="1:11" ht="24.95" customHeight="1" x14ac:dyDescent="0.2">
      <c r="A26" s="286" t="s">
        <v>239</v>
      </c>
      <c r="B26" s="10"/>
      <c r="C26" s="198" t="s">
        <v>239</v>
      </c>
      <c r="D26" s="10"/>
      <c r="E26" s="10"/>
      <c r="F26" s="10"/>
      <c r="G26" s="10"/>
      <c r="H26" s="10"/>
      <c r="I26" s="10"/>
    </row>
    <row r="27" spans="1:11" ht="24.75" customHeight="1" x14ac:dyDescent="0.2">
      <c r="D27" s="10"/>
      <c r="E27" s="10"/>
      <c r="F27" s="10"/>
      <c r="G27" s="10"/>
      <c r="H27" s="10"/>
      <c r="I27" s="10"/>
    </row>
    <row r="28" spans="1:11" ht="24.75" customHeight="1" x14ac:dyDescent="0.2">
      <c r="A28" s="630" t="s">
        <v>271</v>
      </c>
      <c r="C28" s="198" t="s">
        <v>307</v>
      </c>
    </row>
    <row r="29" spans="1:11" x14ac:dyDescent="0.2">
      <c r="F29" s="470"/>
      <c r="G29" s="470"/>
      <c r="H29" s="470"/>
      <c r="I29" s="470"/>
      <c r="J29" s="470"/>
      <c r="K29" s="470"/>
    </row>
    <row r="30" spans="1:11" x14ac:dyDescent="0.2">
      <c r="F30" s="470"/>
      <c r="G30" s="470"/>
      <c r="H30" s="470"/>
      <c r="I30" s="470"/>
      <c r="J30" s="470"/>
      <c r="K30" s="470"/>
    </row>
    <row r="31" spans="1:11" x14ac:dyDescent="0.2">
      <c r="A31" s="468" t="s">
        <v>162</v>
      </c>
      <c r="B31" s="468"/>
      <c r="C31" s="468"/>
      <c r="D31" s="468"/>
      <c r="E31" s="468"/>
      <c r="F31" s="470"/>
      <c r="G31" s="470"/>
      <c r="H31" s="470"/>
      <c r="I31" s="470"/>
      <c r="J31" s="470"/>
      <c r="K31" s="470"/>
    </row>
    <row r="32" spans="1:11" x14ac:dyDescent="0.2">
      <c r="A32" s="663" t="s">
        <v>337</v>
      </c>
      <c r="B32" s="470"/>
      <c r="C32" s="470"/>
      <c r="D32" s="470"/>
      <c r="E32" s="470"/>
      <c r="F32" s="467"/>
      <c r="G32" s="467"/>
      <c r="H32" s="467"/>
      <c r="I32" s="467"/>
      <c r="J32" s="467"/>
      <c r="K32" s="467"/>
    </row>
    <row r="33" spans="1:11" x14ac:dyDescent="0.2">
      <c r="A33" s="470"/>
      <c r="B33" s="470"/>
      <c r="C33" s="470"/>
      <c r="D33" s="470"/>
      <c r="E33" s="470"/>
      <c r="F33" s="466"/>
      <c r="G33" s="466"/>
      <c r="H33" s="466"/>
      <c r="I33" s="466"/>
      <c r="J33" s="470"/>
      <c r="K33" s="470"/>
    </row>
    <row r="34" spans="1:11" x14ac:dyDescent="0.2">
      <c r="A34" s="586" t="s">
        <v>85</v>
      </c>
      <c r="B34" s="586"/>
      <c r="C34" s="586"/>
      <c r="D34" s="665" t="s">
        <v>340</v>
      </c>
      <c r="E34" s="668"/>
      <c r="F34" s="470"/>
      <c r="G34" s="470"/>
      <c r="H34" s="470"/>
      <c r="I34" s="470"/>
      <c r="J34" s="470"/>
      <c r="K34" s="470"/>
    </row>
    <row r="35" spans="1:11" x14ac:dyDescent="0.2">
      <c r="A35" s="586" t="s">
        <v>160</v>
      </c>
      <c r="B35" s="586"/>
      <c r="C35" s="586"/>
      <c r="D35" s="586"/>
      <c r="E35" s="586"/>
      <c r="F35" s="470"/>
      <c r="G35" s="470"/>
      <c r="H35" s="470"/>
      <c r="I35" s="470"/>
      <c r="J35" s="470"/>
      <c r="K35" s="470"/>
    </row>
    <row r="36" spans="1:11" x14ac:dyDescent="0.2">
      <c r="A36" s="469" t="s">
        <v>325</v>
      </c>
      <c r="B36" s="469"/>
      <c r="C36" s="469"/>
      <c r="D36" s="469"/>
      <c r="E36" s="470"/>
      <c r="F36" s="470"/>
      <c r="G36" s="470"/>
      <c r="H36" s="470"/>
      <c r="I36" s="470"/>
      <c r="J36" s="470"/>
      <c r="K36" s="470"/>
    </row>
    <row r="37" spans="1:11" x14ac:dyDescent="0.2">
      <c r="A37" s="469" t="s">
        <v>326</v>
      </c>
      <c r="B37" s="469"/>
      <c r="C37" s="469"/>
      <c r="D37" s="469"/>
      <c r="E37" s="470"/>
    </row>
    <row r="38" spans="1:11" x14ac:dyDescent="0.2">
      <c r="A38" s="470"/>
      <c r="B38" s="470"/>
      <c r="C38" s="470"/>
      <c r="D38" s="470"/>
      <c r="E38" s="470"/>
    </row>
    <row r="39" spans="1:11" x14ac:dyDescent="0.2">
      <c r="A39" s="585" t="s">
        <v>161</v>
      </c>
      <c r="B39" s="585"/>
      <c r="C39" s="585"/>
      <c r="D39" s="585"/>
      <c r="E39" s="470"/>
    </row>
    <row r="40" spans="1:11" x14ac:dyDescent="0.2">
      <c r="A40" s="278"/>
    </row>
  </sheetData>
  <mergeCells count="11">
    <mergeCell ref="G15:H15"/>
    <mergeCell ref="A9:I9"/>
    <mergeCell ref="A10:I10"/>
    <mergeCell ref="A12:I12"/>
    <mergeCell ref="A13:I13"/>
    <mergeCell ref="A11:I11"/>
    <mergeCell ref="A1:I1"/>
    <mergeCell ref="A3:I3"/>
    <mergeCell ref="F7:G7"/>
    <mergeCell ref="A7:D7"/>
    <mergeCell ref="A2:I2"/>
  </mergeCells>
  <phoneticPr fontId="0" type="noConversion"/>
  <hyperlinks>
    <hyperlink ref="C16" location="'D means'!A1" display="D means"/>
    <hyperlink ref="C17" location="'D props'!A1" display="D props"/>
    <hyperlink ref="C18" location="'D props'!A1" display="D props"/>
    <hyperlink ref="C19" location="'D rates'!A1" display="D rates"/>
    <hyperlink ref="E16" location="'C means'!A1" display="C means"/>
    <hyperlink ref="E17" location="'C Props'!A1" display="C Props"/>
    <hyperlink ref="E18" location="'C Props'!A1" display="C Props"/>
    <hyperlink ref="E19" location="'C rates'!A1" display="C rates"/>
    <hyperlink ref="G17" location="'Str RD'!A1" display="Str RR"/>
    <hyperlink ref="G18" location="'Str OR'!A1" display="Str OR"/>
    <hyperlink ref="G19" location="'Str IRR'!A1" display="Str IRR"/>
    <hyperlink ref="H18" location="'Str OR (MH)'!A1" display="Str OR (MH)"/>
    <hyperlink ref="C22" location="Tables!A1" display="Chisq"/>
    <hyperlink ref="G20" location="'Str Any 1'!A1" display="Str Any 1"/>
    <hyperlink ref="C26" location="'P Values'!A1" display="P values"/>
    <hyperlink ref="G16" location="'Str MD'!A1" display="Str MD"/>
    <hyperlink ref="H20" location="'Str Any 2'!A1" display="Str Any 2"/>
    <hyperlink ref="H17" location="'Str RR'!A1" display="Str RR"/>
    <hyperlink ref="C28" location="'Sample Size'!A1" display="Sample Size"/>
    <hyperlink ref="C24" location="Correlations!A1" display="Correlations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/>
  </sheetViews>
  <sheetFormatPr defaultColWidth="9.140625" defaultRowHeight="12.75" x14ac:dyDescent="0.2"/>
  <cols>
    <col min="1" max="7" width="8.7109375" style="470" customWidth="1"/>
    <col min="8" max="8" width="10.5703125" style="470" customWidth="1"/>
    <col min="9" max="9" width="10.28515625" style="470" customWidth="1"/>
    <col min="10" max="10" width="6.28515625" style="470" hidden="1" customWidth="1"/>
    <col min="11" max="16384" width="9.140625" style="470"/>
  </cols>
  <sheetData>
    <row r="1" spans="1:10" ht="12.75" customHeight="1" x14ac:dyDescent="0.2">
      <c r="A1" s="306" t="s">
        <v>262</v>
      </c>
      <c r="B1" s="306"/>
      <c r="H1" s="150" t="str">
        <f>IF(D2="","",1/(D2^2))</f>
        <v/>
      </c>
      <c r="I1" s="326"/>
    </row>
    <row r="2" spans="1:10" ht="12.75" customHeight="1" x14ac:dyDescent="0.2">
      <c r="A2" s="725" t="s">
        <v>263</v>
      </c>
      <c r="B2" s="725"/>
      <c r="C2" s="725"/>
      <c r="D2" s="725"/>
      <c r="E2" s="725"/>
      <c r="I2" s="326"/>
    </row>
    <row r="3" spans="1:10" ht="12.75" customHeight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10" ht="12.75" customHeight="1" x14ac:dyDescent="0.2">
      <c r="A4" s="687" t="s">
        <v>144</v>
      </c>
      <c r="B4" s="688"/>
      <c r="C4" s="688"/>
      <c r="D4" s="688"/>
      <c r="E4" s="688"/>
      <c r="F4" s="688"/>
      <c r="G4" s="689"/>
      <c r="H4" s="19"/>
      <c r="I4" s="19"/>
    </row>
    <row r="5" spans="1:10" ht="12.75" customHeight="1" x14ac:dyDescent="0.2">
      <c r="A5" s="693" t="s">
        <v>145</v>
      </c>
      <c r="B5" s="694"/>
      <c r="C5" s="694"/>
      <c r="D5" s="694"/>
      <c r="E5" s="694"/>
      <c r="F5" s="694"/>
      <c r="G5" s="695"/>
      <c r="H5" s="19"/>
      <c r="I5" s="19"/>
    </row>
    <row r="6" spans="1:10" ht="12.75" customHeight="1" x14ac:dyDescent="0.2"/>
    <row r="7" spans="1:10" ht="12.75" customHeight="1" x14ac:dyDescent="0.2">
      <c r="A7" s="97" t="s">
        <v>92</v>
      </c>
      <c r="B7" s="120"/>
      <c r="C7" s="120"/>
      <c r="D7" s="32"/>
      <c r="E7" s="106"/>
      <c r="F7" s="106"/>
      <c r="G7" s="106" t="str">
        <f>IF(E4="","",E4+1.96*F4)</f>
        <v/>
      </c>
      <c r="H7" s="19"/>
      <c r="I7" s="19"/>
    </row>
    <row r="8" spans="1:10" ht="12.75" customHeight="1" x14ac:dyDescent="0.2">
      <c r="A8" s="228">
        <v>1</v>
      </c>
      <c r="B8" s="596" t="s">
        <v>204</v>
      </c>
      <c r="C8" s="597"/>
      <c r="D8" s="597"/>
      <c r="E8" s="597"/>
      <c r="F8" s="597"/>
      <c r="G8" s="598"/>
      <c r="H8" s="19"/>
      <c r="I8" s="19"/>
    </row>
    <row r="9" spans="1:10" ht="12.75" customHeight="1" x14ac:dyDescent="0.2">
      <c r="B9" s="675" t="s">
        <v>4</v>
      </c>
      <c r="C9" s="677"/>
    </row>
    <row r="10" spans="1:10" ht="12.75" customHeight="1" x14ac:dyDescent="0.2">
      <c r="A10" s="591" t="s">
        <v>107</v>
      </c>
      <c r="B10" s="222" t="s">
        <v>0</v>
      </c>
      <c r="C10" s="223" t="s">
        <v>182</v>
      </c>
      <c r="D10" s="590" t="s">
        <v>36</v>
      </c>
      <c r="E10" s="99" t="s">
        <v>11</v>
      </c>
      <c r="F10" s="97" t="s">
        <v>2</v>
      </c>
      <c r="G10" s="97" t="s">
        <v>12</v>
      </c>
      <c r="H10" s="403" t="s">
        <v>201</v>
      </c>
      <c r="I10" s="403" t="s">
        <v>264</v>
      </c>
      <c r="J10" s="417" t="s">
        <v>175</v>
      </c>
    </row>
    <row r="11" spans="1:10" ht="12.75" customHeight="1" x14ac:dyDescent="0.2">
      <c r="A11" s="35" t="str">
        <f>"2"</f>
        <v>2</v>
      </c>
      <c r="B11" s="88">
        <v>8</v>
      </c>
      <c r="C11" s="89">
        <v>98</v>
      </c>
      <c r="D11" s="221">
        <f>SUM(B11:C11)</f>
        <v>106</v>
      </c>
      <c r="E11" s="216">
        <f>IF(J11,B11/D11-B12/D12,"")</f>
        <v>3.380503144654088E-2</v>
      </c>
      <c r="F11" s="117">
        <f>IF(J11,SQRT(B11*C11/D11^3+B12*C12/D12^3),"")</f>
        <v>3.148040894789892E-2</v>
      </c>
      <c r="G11" s="216">
        <f>IF(J11,E11-1.96*F11,"")</f>
        <v>-2.7896570091341E-2</v>
      </c>
      <c r="H11" s="106">
        <f>IF(E11="","",1/(F11^2))</f>
        <v>1009.0652937345819</v>
      </c>
      <c r="I11" s="32">
        <f>IF(E11="","",E11*H11)</f>
        <v>34.111483986310553</v>
      </c>
      <c r="J11" s="19" t="b">
        <f>AND(B11&gt;0,INT(B11)=B11,C11&gt;0,INT(C11)=C11,B12&gt;0,INT(B12)=B12,C12&gt;0,INT(C12)=C12)</f>
        <v>1</v>
      </c>
    </row>
    <row r="12" spans="1:10" ht="12.75" customHeight="1" x14ac:dyDescent="0.2">
      <c r="A12" s="29" t="str">
        <f>"1 (Ref)"</f>
        <v>1 (Ref)</v>
      </c>
      <c r="B12" s="93">
        <v>5</v>
      </c>
      <c r="C12" s="94">
        <v>115</v>
      </c>
      <c r="D12" s="166">
        <f>SUM(B12:C12)</f>
        <v>120</v>
      </c>
      <c r="E12" s="197"/>
      <c r="F12" s="195"/>
      <c r="G12" s="197">
        <f>IF(J11,E11+1.96*F11,"")</f>
        <v>9.550663298442276E-2</v>
      </c>
      <c r="H12" s="32"/>
      <c r="I12" s="32"/>
      <c r="J12" s="19"/>
    </row>
    <row r="13" spans="1:10" ht="12.75" customHeight="1" x14ac:dyDescent="0.2">
      <c r="A13" s="592" t="s">
        <v>36</v>
      </c>
      <c r="B13" s="224">
        <f>SUM(B11:B12)</f>
        <v>13</v>
      </c>
      <c r="C13" s="225">
        <f>SUM(C11:C12)</f>
        <v>213</v>
      </c>
      <c r="D13" s="593">
        <f>SUM(B13:C13)</f>
        <v>226</v>
      </c>
      <c r="E13" s="106"/>
      <c r="F13" s="106"/>
      <c r="G13" s="106"/>
      <c r="I13" s="106"/>
      <c r="J13" s="19"/>
    </row>
    <row r="14" spans="1:10" ht="12.75" customHeight="1" x14ac:dyDescent="0.2">
      <c r="A14" s="119"/>
      <c r="B14" s="120"/>
      <c r="C14" s="120"/>
      <c r="D14" s="427"/>
      <c r="E14" s="106"/>
      <c r="F14" s="106"/>
      <c r="G14" s="106"/>
      <c r="H14" s="106"/>
      <c r="I14" s="106"/>
      <c r="J14" s="19"/>
    </row>
    <row r="15" spans="1:10" ht="12.75" customHeight="1" x14ac:dyDescent="0.2">
      <c r="A15" s="97" t="s">
        <v>92</v>
      </c>
      <c r="B15" s="120"/>
      <c r="C15" s="120"/>
      <c r="D15" s="32"/>
      <c r="E15" s="106"/>
      <c r="F15" s="106"/>
      <c r="G15" s="106" t="str">
        <f>IF(E12="","",E12+1.96*F12)</f>
        <v/>
      </c>
      <c r="H15" s="19"/>
      <c r="I15" s="19"/>
    </row>
    <row r="16" spans="1:10" ht="12.75" customHeight="1" x14ac:dyDescent="0.2">
      <c r="A16" s="228">
        <v>2</v>
      </c>
      <c r="B16" s="596" t="s">
        <v>205</v>
      </c>
      <c r="C16" s="597"/>
      <c r="D16" s="597"/>
      <c r="E16" s="597"/>
      <c r="F16" s="597"/>
      <c r="G16" s="598"/>
      <c r="H16" s="19"/>
      <c r="I16" s="19"/>
    </row>
    <row r="17" spans="1:10" ht="12.75" customHeight="1" x14ac:dyDescent="0.2">
      <c r="B17" s="675" t="s">
        <v>4</v>
      </c>
      <c r="C17" s="677"/>
    </row>
    <row r="18" spans="1:10" ht="12.75" customHeight="1" x14ac:dyDescent="0.2">
      <c r="A18" s="591" t="s">
        <v>107</v>
      </c>
      <c r="B18" s="222" t="s">
        <v>0</v>
      </c>
      <c r="C18" s="223" t="s">
        <v>182</v>
      </c>
      <c r="D18" s="590" t="s">
        <v>36</v>
      </c>
      <c r="E18" s="99" t="s">
        <v>11</v>
      </c>
      <c r="F18" s="97" t="s">
        <v>2</v>
      </c>
      <c r="G18" s="97" t="s">
        <v>12</v>
      </c>
      <c r="H18" s="403" t="s">
        <v>201</v>
      </c>
      <c r="I18" s="403" t="s">
        <v>264</v>
      </c>
      <c r="J18" s="417" t="s">
        <v>175</v>
      </c>
    </row>
    <row r="19" spans="1:10" ht="12.75" customHeight="1" x14ac:dyDescent="0.2">
      <c r="A19" s="35" t="str">
        <f>"2"</f>
        <v>2</v>
      </c>
      <c r="B19" s="88">
        <v>22</v>
      </c>
      <c r="C19" s="89">
        <v>76</v>
      </c>
      <c r="D19" s="221">
        <f>SUM(B19:C19)</f>
        <v>98</v>
      </c>
      <c r="E19" s="216">
        <f>IF(J19,B19/D19-B20/D20,"")</f>
        <v>3.625450180072029E-2</v>
      </c>
      <c r="F19" s="117">
        <f>IF(J19,SQRT(B19*C19/D19^3+B20*C20/D20^3),"")</f>
        <v>5.9784197859610491E-2</v>
      </c>
      <c r="G19" s="216">
        <f>IF(J19,E19-1.96*F19,"")</f>
        <v>-8.0922526004116271E-2</v>
      </c>
      <c r="H19" s="106">
        <f>IF(E19="","",1/(F19^2))</f>
        <v>279.78677789855374</v>
      </c>
      <c r="I19" s="32">
        <f>IF(E19="","",E19*H19)</f>
        <v>10.143530243140845</v>
      </c>
      <c r="J19" s="19" t="b">
        <f>AND(B19&gt;0,INT(B19)=B19,C19&gt;0,INT(C19)=C19,B20&gt;0,INT(B20)=B20,C20&gt;0,INT(C20)=C20)</f>
        <v>1</v>
      </c>
    </row>
    <row r="20" spans="1:10" ht="12.75" customHeight="1" x14ac:dyDescent="0.2">
      <c r="A20" s="29" t="str">
        <f>"1 (Ref)"</f>
        <v>1 (Ref)</v>
      </c>
      <c r="B20" s="93">
        <v>16</v>
      </c>
      <c r="C20" s="94">
        <v>69</v>
      </c>
      <c r="D20" s="166">
        <f>SUM(B20:C20)</f>
        <v>85</v>
      </c>
      <c r="E20" s="197"/>
      <c r="F20" s="195"/>
      <c r="G20" s="197">
        <f>IF(J19,E19+1.96*F19,"")</f>
        <v>0.15343152960555684</v>
      </c>
      <c r="H20" s="32"/>
      <c r="I20" s="32"/>
      <c r="J20" s="19"/>
    </row>
    <row r="21" spans="1:10" ht="12.75" customHeight="1" x14ac:dyDescent="0.2">
      <c r="A21" s="592" t="s">
        <v>36</v>
      </c>
      <c r="B21" s="224">
        <f>SUM(B19:B20)</f>
        <v>38</v>
      </c>
      <c r="C21" s="225">
        <f>SUM(C19:C20)</f>
        <v>145</v>
      </c>
      <c r="D21" s="593">
        <f>SUM(B21:C21)</f>
        <v>183</v>
      </c>
      <c r="E21" s="106"/>
      <c r="F21" s="106"/>
      <c r="G21" s="106"/>
      <c r="I21" s="106"/>
      <c r="J21" s="19"/>
    </row>
    <row r="22" spans="1:10" ht="12.75" customHeight="1" x14ac:dyDescent="0.2">
      <c r="A22" s="119"/>
      <c r="B22" s="120"/>
      <c r="C22" s="120"/>
      <c r="D22" s="427"/>
      <c r="E22" s="106"/>
      <c r="F22" s="106"/>
      <c r="G22" s="106"/>
      <c r="H22" s="106"/>
      <c r="I22" s="106"/>
      <c r="J22" s="19"/>
    </row>
    <row r="23" spans="1:10" ht="12.75" customHeight="1" x14ac:dyDescent="0.2">
      <c r="A23" s="97" t="s">
        <v>92</v>
      </c>
      <c r="B23" s="120"/>
      <c r="C23" s="120"/>
      <c r="D23" s="32"/>
      <c r="E23" s="106"/>
      <c r="F23" s="106"/>
      <c r="G23" s="106" t="str">
        <f>IF(E20="","",E20+1.96*F20)</f>
        <v/>
      </c>
      <c r="H23" s="19"/>
      <c r="I23" s="19"/>
    </row>
    <row r="24" spans="1:10" ht="12.75" customHeight="1" x14ac:dyDescent="0.2">
      <c r="A24" s="228">
        <v>3</v>
      </c>
      <c r="B24" s="596"/>
      <c r="C24" s="597"/>
      <c r="D24" s="597"/>
      <c r="E24" s="597"/>
      <c r="F24" s="597"/>
      <c r="G24" s="598"/>
      <c r="H24" s="19"/>
      <c r="I24" s="19"/>
    </row>
    <row r="25" spans="1:10" ht="12.75" customHeight="1" x14ac:dyDescent="0.2">
      <c r="B25" s="675" t="s">
        <v>4</v>
      </c>
      <c r="C25" s="677"/>
    </row>
    <row r="26" spans="1:10" ht="12.75" customHeight="1" x14ac:dyDescent="0.2">
      <c r="A26" s="591" t="s">
        <v>107</v>
      </c>
      <c r="B26" s="222" t="s">
        <v>0</v>
      </c>
      <c r="C26" s="223" t="s">
        <v>182</v>
      </c>
      <c r="D26" s="590" t="s">
        <v>36</v>
      </c>
      <c r="E26" s="99" t="s">
        <v>11</v>
      </c>
      <c r="F26" s="97" t="s">
        <v>2</v>
      </c>
      <c r="G26" s="97" t="s">
        <v>12</v>
      </c>
      <c r="H26" s="403" t="s">
        <v>201</v>
      </c>
      <c r="I26" s="403" t="s">
        <v>264</v>
      </c>
      <c r="J26" s="417" t="s">
        <v>175</v>
      </c>
    </row>
    <row r="27" spans="1:10" ht="12.75" customHeight="1" x14ac:dyDescent="0.2">
      <c r="A27" s="35" t="str">
        <f>"2"</f>
        <v>2</v>
      </c>
      <c r="B27" s="88"/>
      <c r="C27" s="89"/>
      <c r="D27" s="221">
        <f>SUM(B27:C27)</f>
        <v>0</v>
      </c>
      <c r="E27" s="216" t="str">
        <f>IF(J27,B27/D27-B28/D28,"")</f>
        <v/>
      </c>
      <c r="F27" s="117" t="str">
        <f>IF(J27,SQRT(B27*C27/D27^3+B28*C28/D28^3),"")</f>
        <v/>
      </c>
      <c r="G27" s="216" t="str">
        <f>IF(J27,E27-1.96*F27,"")</f>
        <v/>
      </c>
      <c r="H27" s="106" t="str">
        <f>IF(E27="","",1/(F27^2))</f>
        <v/>
      </c>
      <c r="I27" s="32" t="str">
        <f>IF(E27="","",E27*H27)</f>
        <v/>
      </c>
      <c r="J27" s="19" t="b">
        <f>AND(B27&gt;0,INT(B27)=B27,C27&gt;0,INT(C27)=C27,B28&gt;0,INT(B28)=B28,C28&gt;0,INT(C28)=C28)</f>
        <v>0</v>
      </c>
    </row>
    <row r="28" spans="1:10" ht="12.75" customHeight="1" x14ac:dyDescent="0.2">
      <c r="A28" s="29" t="str">
        <f>"1 (Ref)"</f>
        <v>1 (Ref)</v>
      </c>
      <c r="B28" s="93"/>
      <c r="C28" s="94"/>
      <c r="D28" s="166">
        <f>SUM(B28:C28)</f>
        <v>0</v>
      </c>
      <c r="E28" s="197"/>
      <c r="F28" s="195"/>
      <c r="G28" s="197" t="str">
        <f>IF(J27,E27+1.96*F27,"")</f>
        <v/>
      </c>
      <c r="H28" s="32"/>
      <c r="I28" s="32"/>
      <c r="J28" s="19"/>
    </row>
    <row r="29" spans="1:10" ht="12.75" customHeight="1" x14ac:dyDescent="0.2">
      <c r="A29" s="592" t="s">
        <v>36</v>
      </c>
      <c r="B29" s="224">
        <f>SUM(B27:B28)</f>
        <v>0</v>
      </c>
      <c r="C29" s="225">
        <f>SUM(C27:C28)</f>
        <v>0</v>
      </c>
      <c r="D29" s="593">
        <f>SUM(B29:C29)</f>
        <v>0</v>
      </c>
      <c r="E29" s="106"/>
      <c r="F29" s="106"/>
      <c r="G29" s="106"/>
      <c r="I29" s="106"/>
      <c r="J29" s="19"/>
    </row>
    <row r="30" spans="1:10" ht="12.75" customHeight="1" x14ac:dyDescent="0.2">
      <c r="A30" s="119"/>
      <c r="B30" s="120"/>
      <c r="C30" s="120"/>
      <c r="D30" s="427"/>
      <c r="E30" s="106"/>
      <c r="F30" s="106"/>
      <c r="G30" s="106"/>
      <c r="H30" s="106"/>
      <c r="I30" s="106"/>
      <c r="J30" s="19"/>
    </row>
    <row r="31" spans="1:10" ht="12.75" customHeight="1" x14ac:dyDescent="0.2">
      <c r="A31" s="97" t="s">
        <v>92</v>
      </c>
      <c r="B31" s="120"/>
      <c r="C31" s="120"/>
      <c r="D31" s="32"/>
      <c r="E31" s="106"/>
      <c r="F31" s="106"/>
      <c r="G31" s="106" t="str">
        <f>IF(E28="","",E28+1.96*F28)</f>
        <v/>
      </c>
      <c r="H31" s="19"/>
      <c r="I31" s="19"/>
    </row>
    <row r="32" spans="1:10" ht="12.75" customHeight="1" x14ac:dyDescent="0.2">
      <c r="A32" s="228">
        <v>4</v>
      </c>
      <c r="B32" s="596"/>
      <c r="C32" s="597"/>
      <c r="D32" s="597"/>
      <c r="E32" s="597"/>
      <c r="F32" s="597"/>
      <c r="G32" s="598"/>
      <c r="H32" s="19"/>
      <c r="I32" s="19"/>
    </row>
    <row r="33" spans="1:10" ht="12.75" customHeight="1" x14ac:dyDescent="0.2">
      <c r="B33" s="675" t="s">
        <v>4</v>
      </c>
      <c r="C33" s="677"/>
    </row>
    <row r="34" spans="1:10" ht="12.75" customHeight="1" x14ac:dyDescent="0.2">
      <c r="A34" s="591" t="s">
        <v>107</v>
      </c>
      <c r="B34" s="222" t="s">
        <v>0</v>
      </c>
      <c r="C34" s="223" t="s">
        <v>182</v>
      </c>
      <c r="D34" s="590" t="s">
        <v>36</v>
      </c>
      <c r="E34" s="99" t="s">
        <v>11</v>
      </c>
      <c r="F34" s="97" t="s">
        <v>2</v>
      </c>
      <c r="G34" s="97" t="s">
        <v>12</v>
      </c>
      <c r="H34" s="403" t="s">
        <v>201</v>
      </c>
      <c r="I34" s="403" t="s">
        <v>264</v>
      </c>
      <c r="J34" s="417" t="s">
        <v>175</v>
      </c>
    </row>
    <row r="35" spans="1:10" ht="12.75" customHeight="1" x14ac:dyDescent="0.2">
      <c r="A35" s="35" t="str">
        <f>"2"</f>
        <v>2</v>
      </c>
      <c r="B35" s="88"/>
      <c r="C35" s="89"/>
      <c r="D35" s="221">
        <f>SUM(B35:C35)</f>
        <v>0</v>
      </c>
      <c r="E35" s="216" t="str">
        <f>IF(J35,B35/D35-B36/D36,"")</f>
        <v/>
      </c>
      <c r="F35" s="117" t="str">
        <f>IF(J35,SQRT(B35*C35/D35^3+B36*C36/D36^3),"")</f>
        <v/>
      </c>
      <c r="G35" s="216" t="str">
        <f>IF(J35,E35-1.96*F35,"")</f>
        <v/>
      </c>
      <c r="H35" s="106" t="str">
        <f>IF(E35="","",1/(F35^2))</f>
        <v/>
      </c>
      <c r="I35" s="32" t="str">
        <f>IF(E35="","",E35*H35)</f>
        <v/>
      </c>
      <c r="J35" s="19" t="b">
        <f>AND(B35&gt;0,INT(B35)=B35,C35&gt;0,INT(C35)=C35,B36&gt;0,INT(B36)=B36,C36&gt;0,INT(C36)=C36)</f>
        <v>0</v>
      </c>
    </row>
    <row r="36" spans="1:10" ht="12.75" customHeight="1" x14ac:dyDescent="0.2">
      <c r="A36" s="29" t="str">
        <f>"1 (Ref)"</f>
        <v>1 (Ref)</v>
      </c>
      <c r="B36" s="93"/>
      <c r="C36" s="94"/>
      <c r="D36" s="166">
        <f>SUM(B36:C36)</f>
        <v>0</v>
      </c>
      <c r="E36" s="197"/>
      <c r="F36" s="195"/>
      <c r="G36" s="197" t="str">
        <f>IF(J35,E35+1.96*F35,"")</f>
        <v/>
      </c>
      <c r="H36" s="32"/>
      <c r="I36" s="32"/>
      <c r="J36" s="19"/>
    </row>
    <row r="37" spans="1:10" ht="12.75" customHeight="1" x14ac:dyDescent="0.2">
      <c r="A37" s="592" t="s">
        <v>36</v>
      </c>
      <c r="B37" s="224">
        <f>SUM(B35:B36)</f>
        <v>0</v>
      </c>
      <c r="C37" s="225">
        <f>SUM(C35:C36)</f>
        <v>0</v>
      </c>
      <c r="D37" s="593">
        <f>SUM(B37:C37)</f>
        <v>0</v>
      </c>
      <c r="E37" s="106"/>
      <c r="F37" s="106"/>
      <c r="G37" s="106"/>
      <c r="I37" s="106"/>
      <c r="J37" s="19"/>
    </row>
    <row r="38" spans="1:10" ht="12.75" customHeight="1" x14ac:dyDescent="0.2">
      <c r="A38" s="119"/>
      <c r="B38" s="120"/>
      <c r="C38" s="120"/>
      <c r="D38" s="427"/>
      <c r="E38" s="106"/>
      <c r="F38" s="106"/>
      <c r="G38" s="106"/>
      <c r="H38" s="106"/>
      <c r="I38" s="106"/>
      <c r="J38" s="19"/>
    </row>
    <row r="39" spans="1:10" ht="12.75" customHeight="1" x14ac:dyDescent="0.2">
      <c r="A39" s="97" t="s">
        <v>92</v>
      </c>
      <c r="B39" s="120"/>
      <c r="C39" s="120"/>
      <c r="D39" s="32"/>
      <c r="E39" s="106"/>
      <c r="F39" s="106"/>
      <c r="G39" s="106" t="str">
        <f>IF(E36="","",E36+1.96*F36)</f>
        <v/>
      </c>
      <c r="H39" s="19"/>
      <c r="I39" s="19"/>
    </row>
    <row r="40" spans="1:10" ht="12.75" customHeight="1" x14ac:dyDescent="0.2">
      <c r="A40" s="228">
        <v>5</v>
      </c>
      <c r="B40" s="596"/>
      <c r="C40" s="597"/>
      <c r="D40" s="597"/>
      <c r="E40" s="597"/>
      <c r="F40" s="597"/>
      <c r="G40" s="598"/>
      <c r="H40" s="19"/>
      <c r="I40" s="19"/>
    </row>
    <row r="41" spans="1:10" ht="12.75" customHeight="1" x14ac:dyDescent="0.2">
      <c r="B41" s="675" t="s">
        <v>4</v>
      </c>
      <c r="C41" s="677"/>
    </row>
    <row r="42" spans="1:10" ht="12.75" customHeight="1" x14ac:dyDescent="0.2">
      <c r="A42" s="591" t="s">
        <v>107</v>
      </c>
      <c r="B42" s="222" t="s">
        <v>0</v>
      </c>
      <c r="C42" s="223" t="s">
        <v>182</v>
      </c>
      <c r="D42" s="590" t="s">
        <v>36</v>
      </c>
      <c r="E42" s="99" t="s">
        <v>11</v>
      </c>
      <c r="F42" s="97" t="s">
        <v>2</v>
      </c>
      <c r="G42" s="97" t="s">
        <v>12</v>
      </c>
      <c r="H42" s="403" t="s">
        <v>201</v>
      </c>
      <c r="I42" s="403" t="s">
        <v>264</v>
      </c>
      <c r="J42" s="417" t="s">
        <v>175</v>
      </c>
    </row>
    <row r="43" spans="1:10" ht="12.75" customHeight="1" x14ac:dyDescent="0.2">
      <c r="A43" s="35" t="str">
        <f>"2"</f>
        <v>2</v>
      </c>
      <c r="B43" s="88"/>
      <c r="C43" s="89"/>
      <c r="D43" s="221">
        <f>SUM(B43:C43)</f>
        <v>0</v>
      </c>
      <c r="E43" s="216" t="str">
        <f>IF(J43,B43/D43-B44/D44,"")</f>
        <v/>
      </c>
      <c r="F43" s="117" t="str">
        <f>IF(J43,SQRT(B43*C43/D43^3+B44*C44/D44^3),"")</f>
        <v/>
      </c>
      <c r="G43" s="216" t="str">
        <f>IF(J43,E43-1.96*F43,"")</f>
        <v/>
      </c>
      <c r="H43" s="106" t="str">
        <f>IF(E43="","",1/(F43^2))</f>
        <v/>
      </c>
      <c r="I43" s="32" t="str">
        <f>IF(E43="","",E43*H43)</f>
        <v/>
      </c>
      <c r="J43" s="19" t="b">
        <f>AND(B43&gt;0,INT(B43)=B43,C43&gt;0,INT(C43)=C43,B44&gt;0,INT(B44)=B44,C44&gt;0,INT(C44)=C44)</f>
        <v>0</v>
      </c>
    </row>
    <row r="44" spans="1:10" ht="12.75" customHeight="1" x14ac:dyDescent="0.2">
      <c r="A44" s="29" t="str">
        <f>"1 (Ref)"</f>
        <v>1 (Ref)</v>
      </c>
      <c r="B44" s="93"/>
      <c r="C44" s="94"/>
      <c r="D44" s="166">
        <f>SUM(B44:C44)</f>
        <v>0</v>
      </c>
      <c r="E44" s="197"/>
      <c r="F44" s="195"/>
      <c r="G44" s="197" t="str">
        <f>IF(J43,E43+1.96*F43,"")</f>
        <v/>
      </c>
      <c r="H44" s="32"/>
      <c r="I44" s="32"/>
      <c r="J44" s="19"/>
    </row>
    <row r="45" spans="1:10" ht="12.75" customHeight="1" x14ac:dyDescent="0.2">
      <c r="A45" s="592" t="s">
        <v>36</v>
      </c>
      <c r="B45" s="224">
        <f>SUM(B43:B44)</f>
        <v>0</v>
      </c>
      <c r="C45" s="225">
        <f>SUM(C43:C44)</f>
        <v>0</v>
      </c>
      <c r="D45" s="593">
        <f>SUM(B45:C45)</f>
        <v>0</v>
      </c>
      <c r="E45" s="106"/>
      <c r="F45" s="106"/>
      <c r="G45" s="106"/>
      <c r="I45" s="106"/>
      <c r="J45" s="19"/>
    </row>
    <row r="46" spans="1:10" ht="12.75" customHeight="1" x14ac:dyDescent="0.2">
      <c r="A46" s="119"/>
      <c r="B46" s="120"/>
      <c r="C46" s="120"/>
      <c r="D46" s="427"/>
      <c r="E46" s="106"/>
      <c r="F46" s="106"/>
      <c r="G46" s="106"/>
      <c r="H46" s="106"/>
      <c r="I46" s="106"/>
      <c r="J46" s="19"/>
    </row>
    <row r="47" spans="1:10" ht="12.75" customHeight="1" x14ac:dyDescent="0.2">
      <c r="J47" s="19"/>
    </row>
    <row r="48" spans="1:10" ht="12.75" customHeight="1" x14ac:dyDescent="0.2">
      <c r="C48" s="553" t="s">
        <v>16</v>
      </c>
      <c r="D48" s="150"/>
      <c r="E48" s="150"/>
      <c r="H48" s="150"/>
      <c r="I48" s="150"/>
      <c r="J48" s="19"/>
    </row>
    <row r="49" spans="1:10" ht="12.75" customHeight="1" x14ac:dyDescent="0.2">
      <c r="C49" s="99" t="s">
        <v>11</v>
      </c>
      <c r="D49" s="97" t="s">
        <v>2</v>
      </c>
      <c r="E49" s="100" t="s">
        <v>12</v>
      </c>
      <c r="H49" s="19"/>
      <c r="I49" s="19"/>
      <c r="J49" s="19" t="b">
        <f>IF(COUNTIF(J11:J43,TRUE)&gt;0,TRUE,FALSE)</f>
        <v>1</v>
      </c>
    </row>
    <row r="50" spans="1:10" ht="12.75" customHeight="1" x14ac:dyDescent="0.2">
      <c r="C50" s="612">
        <f>IF(J49,I50/H50,"")</f>
        <v>3.4336767735784292E-2</v>
      </c>
      <c r="D50" s="194">
        <f>IF(J49,SQRT(1/H50),"")</f>
        <v>2.7854698565694103E-2</v>
      </c>
      <c r="E50" s="612">
        <f>IF(J49,C50-1.96*D50,"")</f>
        <v>-2.0258441452976152E-2</v>
      </c>
      <c r="H50" s="106">
        <f>IF(J49,SUMIF(H11:H43,"&gt;0"),"")</f>
        <v>1288.8520716331357</v>
      </c>
      <c r="I50" s="106">
        <f>IF(J49,SUMIF(I11:I43,"&lt;&gt;0"),"")</f>
        <v>44.255014229451398</v>
      </c>
      <c r="J50" s="19"/>
    </row>
    <row r="51" spans="1:10" ht="12.75" customHeight="1" x14ac:dyDescent="0.2">
      <c r="C51" s="197"/>
      <c r="D51" s="195"/>
      <c r="E51" s="552">
        <f>IF(J49,C50+1.96*D50,"")</f>
        <v>8.8931976924544742E-2</v>
      </c>
      <c r="H51" s="105"/>
      <c r="I51" s="105"/>
      <c r="J51" s="19"/>
    </row>
    <row r="52" spans="1:10" ht="12.75" customHeight="1" x14ac:dyDescent="0.2">
      <c r="C52" s="106"/>
      <c r="D52" s="106"/>
      <c r="E52" s="106"/>
      <c r="J52" s="19"/>
    </row>
    <row r="53" spans="1:10" ht="12.75" customHeight="1" x14ac:dyDescent="0.2">
      <c r="C53" s="106"/>
      <c r="D53" s="106"/>
      <c r="E53" s="106"/>
      <c r="H53" s="106"/>
      <c r="I53" s="106"/>
    </row>
    <row r="54" spans="1:10" ht="12.75" customHeight="1" x14ac:dyDescent="0.2">
      <c r="A54" s="428"/>
      <c r="B54" s="595"/>
      <c r="C54" s="427"/>
      <c r="D54" s="427"/>
      <c r="E54" s="106"/>
      <c r="F54" s="106"/>
      <c r="G54" s="106"/>
      <c r="H54" s="106"/>
      <c r="I54" s="106"/>
    </row>
    <row r="55" spans="1:10" ht="12.75" customHeight="1" x14ac:dyDescent="0.2">
      <c r="A55" s="723" t="s">
        <v>265</v>
      </c>
      <c r="B55" s="724"/>
      <c r="C55" s="492">
        <v>0</v>
      </c>
      <c r="D55" s="158" t="s">
        <v>14</v>
      </c>
      <c r="E55" s="404">
        <f>IF(J55,(C50-C55)/D50,"")</f>
        <v>1.2327100813818721</v>
      </c>
      <c r="F55" s="158" t="s">
        <v>203</v>
      </c>
      <c r="G55" s="404">
        <f>IF(J55,IF(2*(1-NORMSDIST(ABS(E55)))&gt;=0.001,2*(1-NORMSDIST(ABS(E55))),"&lt;0.001"),"")</f>
        <v>0.21768394921568079</v>
      </c>
      <c r="H55" s="106"/>
      <c r="I55" s="106"/>
      <c r="J55" s="470" t="b">
        <f>AND(J49,NOT(ISBLANK(C55)))</f>
        <v>1</v>
      </c>
    </row>
    <row r="56" spans="1:10" ht="12.75" customHeight="1" x14ac:dyDescent="0.2"/>
    <row r="57" spans="1:10" ht="12.75" customHeight="1" x14ac:dyDescent="0.2"/>
    <row r="58" spans="1:10" ht="12.75" customHeight="1" x14ac:dyDescent="0.2">
      <c r="A58" s="594" t="s">
        <v>266</v>
      </c>
      <c r="B58" s="583"/>
      <c r="C58" s="583"/>
      <c r="D58" s="583"/>
      <c r="E58" s="106"/>
      <c r="F58" s="106"/>
      <c r="G58" s="106"/>
    </row>
    <row r="59" spans="1:10" ht="12.75" customHeight="1" x14ac:dyDescent="0.2">
      <c r="A59" s="37" t="s">
        <v>92</v>
      </c>
      <c r="B59" s="589" t="s">
        <v>158</v>
      </c>
      <c r="C59" s="591" t="s">
        <v>11</v>
      </c>
      <c r="D59" s="675" t="s">
        <v>12</v>
      </c>
      <c r="E59" s="676"/>
      <c r="F59" s="129" t="s">
        <v>2</v>
      </c>
      <c r="G59" s="106"/>
    </row>
    <row r="60" spans="1:10" ht="12.75" customHeight="1" x14ac:dyDescent="0.2">
      <c r="A60" s="170">
        <v>1</v>
      </c>
      <c r="B60" s="423" t="str">
        <f>IF(J60,IF(ISBLANK(CHOOSE(A60,B8,B16,B24,B32,B40)),"",CHOOSE(A60,B8,B16,B24,B32,B40)),"")</f>
        <v>Age &lt; 55</v>
      </c>
      <c r="C60" s="562">
        <f>IF(J60,CHOOSE(A60,E11,E19,E27,E35,E43),"")</f>
        <v>3.380503144654088E-2</v>
      </c>
      <c r="D60" s="563">
        <f>IF(J60,CHOOSE(A60,G11,G19,G27,G35,G43),"")</f>
        <v>-2.7896570091341E-2</v>
      </c>
      <c r="E60" s="615">
        <f>IF(J60,CHOOSE(A60,G12,G20,G28,G36,G44),"")</f>
        <v>9.550663298442276E-2</v>
      </c>
      <c r="F60" s="216">
        <f>IF(J60,CHOOSE(A60,F11,F19,F27,F35,F43),"")</f>
        <v>3.148040894789892E-2</v>
      </c>
      <c r="G60" s="106"/>
      <c r="J60" s="19" t="b">
        <f>IF(NOT(ISBLANK(A60)),CHOOSE(A60,J11,J19,J27,J35,J43),FALSE)</f>
        <v>1</v>
      </c>
    </row>
    <row r="61" spans="1:10" ht="12.75" customHeight="1" x14ac:dyDescent="0.2">
      <c r="A61" s="164">
        <v>2</v>
      </c>
      <c r="B61" s="424" t="str">
        <f>IF(J61,IF(ISBLANK(CHOOSE(A61,B8,B16,B24,B32,B40)),"",CHOOSE(A61,B8,B16,B24,B32,B40)),"")</f>
        <v>Age &gt; 55</v>
      </c>
      <c r="C61" s="565">
        <f>IF(J61,CHOOSE(A61,E11,E19,E27,E35,E43),"")</f>
        <v>3.625450180072029E-2</v>
      </c>
      <c r="D61" s="613">
        <f>IF(J61,CHOOSE(A61,G11,G19,G27,G35,G43),"")</f>
        <v>-8.0922526004116271E-2</v>
      </c>
      <c r="E61" s="616">
        <f>IF(J61,CHOOSE(A61,G12,G20,G28,G36,G44),"")</f>
        <v>0.15343152960555684</v>
      </c>
      <c r="F61" s="196">
        <f>IF(J61,CHOOSE(A61,F11,F19,F27,F35,F43),"")</f>
        <v>5.9784197859610491E-2</v>
      </c>
      <c r="G61" s="106"/>
      <c r="J61" s="19" t="b">
        <f>IF(NOT(ISBLANK(A61)),CHOOSE(A61,J11,J19,J27,J35,J43),FALSE)</f>
        <v>1</v>
      </c>
    </row>
    <row r="62" spans="1:10" ht="12.75" customHeight="1" x14ac:dyDescent="0.2">
      <c r="A62" s="29" t="s">
        <v>267</v>
      </c>
      <c r="B62" s="103"/>
      <c r="C62" s="129">
        <f>IF(J62,C60-C61,"")</f>
        <v>-2.4494703541794102E-3</v>
      </c>
      <c r="D62" s="614">
        <f>IF(J62,C62-1.96*F62,"")</f>
        <v>-0.13487886088934345</v>
      </c>
      <c r="E62" s="617">
        <f>IF(J62,C62+1.96*F62,"")</f>
        <v>0.12997992018098461</v>
      </c>
      <c r="F62" s="129">
        <f>IF(J62,SQRT(F60^2+F61^2),"")</f>
        <v>6.756601557916532E-2</v>
      </c>
      <c r="G62" s="106"/>
      <c r="H62" s="106"/>
      <c r="I62" s="106"/>
      <c r="J62" s="19" t="b">
        <f>AND(J60,J61)</f>
        <v>1</v>
      </c>
    </row>
    <row r="63" spans="1:10" ht="12.75" customHeight="1" x14ac:dyDescent="0.2">
      <c r="A63" s="34"/>
      <c r="B63" s="589"/>
      <c r="C63" s="108"/>
      <c r="D63" s="108"/>
      <c r="E63" s="85"/>
      <c r="F63" s="106"/>
      <c r="G63" s="106"/>
      <c r="H63" s="106"/>
      <c r="I63" s="106"/>
      <c r="J63" s="19"/>
    </row>
    <row r="64" spans="1:10" ht="12.75" customHeight="1" x14ac:dyDescent="0.2">
      <c r="A64" s="723" t="s">
        <v>268</v>
      </c>
      <c r="B64" s="724"/>
      <c r="C64" s="492">
        <v>0</v>
      </c>
      <c r="D64" s="427" t="s">
        <v>14</v>
      </c>
      <c r="E64" s="404">
        <f>IF(J64,(C62-C64)/F62,"")</f>
        <v>-3.6252993952402453E-2</v>
      </c>
      <c r="F64" s="427" t="s">
        <v>203</v>
      </c>
      <c r="G64" s="404">
        <f>IF(J64,IF(2*(1-NORMSDIST(ABS(E64)))&gt;=0.001,2*(1-NORMSDIST(ABS(E64))),"&lt;0.001"),"")</f>
        <v>0.97108063067059347</v>
      </c>
      <c r="H64" s="106"/>
      <c r="I64" s="106"/>
      <c r="J64" s="19" t="b">
        <f>AND(J62,NOT(ISBLANK(C64)))</f>
        <v>1</v>
      </c>
    </row>
    <row r="65" spans="1:10" ht="12.75" customHeight="1" x14ac:dyDescent="0.2">
      <c r="H65" s="106"/>
      <c r="I65" s="106"/>
    </row>
    <row r="66" spans="1:10" ht="12.75" customHeight="1" x14ac:dyDescent="0.2">
      <c r="A66" s="135" t="s">
        <v>269</v>
      </c>
      <c r="B66" s="19"/>
      <c r="C66" s="19"/>
      <c r="D66" s="19"/>
      <c r="E66" s="19"/>
      <c r="F66" s="19"/>
      <c r="G66" s="19"/>
      <c r="H66" s="106"/>
      <c r="I66" s="106"/>
    </row>
    <row r="67" spans="1:10" ht="12.75" customHeight="1" x14ac:dyDescent="0.2">
      <c r="B67" s="675" t="s">
        <v>4</v>
      </c>
      <c r="C67" s="677"/>
      <c r="H67" s="106"/>
      <c r="I67" s="106"/>
    </row>
    <row r="68" spans="1:10" ht="12.75" customHeight="1" x14ac:dyDescent="0.2">
      <c r="A68" s="591" t="s">
        <v>107</v>
      </c>
      <c r="B68" s="222" t="s">
        <v>0</v>
      </c>
      <c r="C68" s="223" t="s">
        <v>182</v>
      </c>
      <c r="D68" s="590" t="s">
        <v>36</v>
      </c>
      <c r="E68" s="99" t="s">
        <v>11</v>
      </c>
      <c r="F68" s="97" t="s">
        <v>2</v>
      </c>
      <c r="G68" s="97" t="s">
        <v>12</v>
      </c>
      <c r="H68" s="106"/>
      <c r="I68" s="106"/>
    </row>
    <row r="69" spans="1:10" ht="12.75" customHeight="1" x14ac:dyDescent="0.2">
      <c r="A69" s="35" t="str">
        <f>"2"</f>
        <v>2</v>
      </c>
      <c r="B69" s="130">
        <f>IF(J49,SUM(B11,B19,B27,B35,B43),"")</f>
        <v>30</v>
      </c>
      <c r="C69" s="130">
        <f>IF(J49,SUM(C11,C19,C27,C35,C43),"")</f>
        <v>174</v>
      </c>
      <c r="D69" s="171">
        <f>IF(J49,SUM(B69:C69),"")</f>
        <v>204</v>
      </c>
      <c r="E69" s="618">
        <f>IF(J49,B69/D69-B70/D70,"")</f>
        <v>4.4619799139167873E-2</v>
      </c>
      <c r="F69" s="612">
        <f>IF(J49,SQRT(B69*C69/D69^3+B70*C70/D70^3),"")</f>
        <v>3.2609490010826379E-2</v>
      </c>
      <c r="G69" s="619">
        <f>IF(J49,E69-1.96*F69,"")</f>
        <v>-1.9294801282051827E-2</v>
      </c>
      <c r="H69" s="106"/>
      <c r="I69" s="106"/>
    </row>
    <row r="70" spans="1:10" ht="12.75" customHeight="1" x14ac:dyDescent="0.2">
      <c r="A70" s="29" t="str">
        <f>"1 (Ref)"</f>
        <v>1 (Ref)</v>
      </c>
      <c r="B70" s="130">
        <f>IF(J49,SUM(B12,B20,B28,B36,B44),"")</f>
        <v>21</v>
      </c>
      <c r="C70" s="130">
        <f>IF(J49,SUM(C12,C20,C28,C36,C44),"")</f>
        <v>184</v>
      </c>
      <c r="D70" s="165">
        <f>IF(J49,SUM(B70:C70),"")</f>
        <v>205</v>
      </c>
      <c r="E70" s="218"/>
      <c r="F70" s="197"/>
      <c r="G70" s="550">
        <f>IF(J49,E69+1.96*F69,"")</f>
        <v>0.10853439956038757</v>
      </c>
      <c r="H70" s="106"/>
      <c r="I70" s="106"/>
    </row>
    <row r="71" spans="1:10" ht="12.75" customHeight="1" x14ac:dyDescent="0.2">
      <c r="A71" s="592" t="s">
        <v>36</v>
      </c>
      <c r="B71" s="587">
        <f>IF(J49,SUM(B69:B70),"")</f>
        <v>51</v>
      </c>
      <c r="C71" s="588">
        <f>IF(J49,SUM(C69:C70),"")</f>
        <v>358</v>
      </c>
      <c r="D71" s="591">
        <f>IF(J49,SUM(B71:C71),"")</f>
        <v>409</v>
      </c>
      <c r="E71" s="106"/>
      <c r="F71" s="106"/>
      <c r="G71" s="106"/>
      <c r="H71" s="106"/>
      <c r="I71" s="106"/>
    </row>
    <row r="72" spans="1:10" ht="12.75" customHeight="1" x14ac:dyDescent="0.2">
      <c r="A72" s="34"/>
      <c r="B72" s="34"/>
      <c r="C72" s="34"/>
      <c r="D72" s="34"/>
      <c r="E72" s="106"/>
      <c r="F72" s="106"/>
      <c r="G72" s="106"/>
      <c r="H72" s="106"/>
      <c r="I72" s="106"/>
    </row>
    <row r="73" spans="1:10" ht="12.75" customHeight="1" x14ac:dyDescent="0.2">
      <c r="A73" s="19"/>
      <c r="B73" s="19"/>
      <c r="C73" s="19"/>
      <c r="D73" s="427"/>
      <c r="E73" s="106"/>
      <c r="F73" s="106"/>
      <c r="G73" s="19"/>
      <c r="H73" s="19"/>
      <c r="I73" s="19"/>
    </row>
    <row r="74" spans="1:10" ht="12.75" customHeight="1" x14ac:dyDescent="0.2">
      <c r="A74" s="723" t="s">
        <v>265</v>
      </c>
      <c r="B74" s="724"/>
      <c r="C74" s="492">
        <v>0</v>
      </c>
      <c r="D74" s="427" t="s">
        <v>14</v>
      </c>
      <c r="E74" s="404">
        <f>IF(J74,(E69-C74)/F69,"")</f>
        <v>1.36830717451742</v>
      </c>
      <c r="F74" s="427" t="s">
        <v>203</v>
      </c>
      <c r="G74" s="404">
        <f>IF(J74,IF(2*(1-NORMSDIST(ABS(E74)))&gt;=0.001,2*(1-NORMSDIST(ABS(E74))),"&lt;0.001"),"")</f>
        <v>0.17121594599833401</v>
      </c>
      <c r="H74" s="19"/>
      <c r="I74" s="19"/>
      <c r="J74" s="417" t="b">
        <f>AND(J49,NOT(ISBLANK(C74)))</f>
        <v>1</v>
      </c>
    </row>
    <row r="75" spans="1:10" ht="12.75" customHeight="1" x14ac:dyDescent="0.2">
      <c r="H75" s="19"/>
      <c r="I75" s="19"/>
    </row>
    <row r="76" spans="1:10" ht="12.75" customHeight="1" x14ac:dyDescent="0.2">
      <c r="H76" s="19"/>
      <c r="I76" s="19"/>
    </row>
    <row r="77" spans="1:10" x14ac:dyDescent="0.2">
      <c r="H77" s="19"/>
      <c r="I77" s="19"/>
    </row>
    <row r="78" spans="1:10" x14ac:dyDescent="0.2">
      <c r="H78" s="19"/>
      <c r="I78" s="19"/>
    </row>
    <row r="79" spans="1:10" x14ac:dyDescent="0.2">
      <c r="H79" s="19"/>
      <c r="I79" s="19"/>
    </row>
    <row r="80" spans="1:10" x14ac:dyDescent="0.2">
      <c r="H80" s="19"/>
      <c r="I80" s="19"/>
    </row>
    <row r="81" spans="1:9" x14ac:dyDescent="0.2">
      <c r="A81" s="19"/>
      <c r="B81" s="19"/>
      <c r="C81" s="19"/>
      <c r="D81" s="19"/>
      <c r="E81" s="19"/>
      <c r="F81" s="19"/>
      <c r="G81" s="19"/>
      <c r="H81" s="19"/>
      <c r="I81" s="19"/>
    </row>
    <row r="82" spans="1:9" x14ac:dyDescent="0.2">
      <c r="A82" s="19"/>
      <c r="B82" s="19"/>
      <c r="C82" s="19"/>
      <c r="D82" s="19"/>
      <c r="E82" s="19"/>
      <c r="F82" s="19"/>
      <c r="G82" s="19"/>
      <c r="H82" s="19"/>
      <c r="I82" s="19"/>
    </row>
    <row r="83" spans="1:9" x14ac:dyDescent="0.2">
      <c r="A83" s="19"/>
      <c r="B83" s="19"/>
      <c r="C83" s="19"/>
      <c r="D83" s="19"/>
      <c r="E83" s="19"/>
      <c r="F83" s="19"/>
      <c r="G83" s="19"/>
      <c r="H83" s="19"/>
      <c r="I83" s="19"/>
    </row>
  </sheetData>
  <sheetProtection sheet="1" formatCells="0" formatColumns="0" formatRows="0"/>
  <mergeCells count="13">
    <mergeCell ref="B25:C25"/>
    <mergeCell ref="A2:E2"/>
    <mergeCell ref="A4:G4"/>
    <mergeCell ref="A5:G5"/>
    <mergeCell ref="B9:C9"/>
    <mergeCell ref="B17:C17"/>
    <mergeCell ref="A74:B74"/>
    <mergeCell ref="B33:C33"/>
    <mergeCell ref="B41:C41"/>
    <mergeCell ref="A55:B55"/>
    <mergeCell ref="D59:E59"/>
    <mergeCell ref="A64:B64"/>
    <mergeCell ref="B67:C67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83"/>
  <sheetViews>
    <sheetView workbookViewId="0">
      <selection activeCell="L15" sqref="L15"/>
    </sheetView>
  </sheetViews>
  <sheetFormatPr defaultRowHeight="12.75" x14ac:dyDescent="0.2"/>
  <cols>
    <col min="1" max="9" width="8.7109375" customWidth="1"/>
    <col min="10" max="10" width="6.28515625" hidden="1" customWidth="1"/>
  </cols>
  <sheetData>
    <row r="1" spans="1:10" ht="12.75" customHeight="1" x14ac:dyDescent="0.2">
      <c r="A1" s="7" t="s">
        <v>229</v>
      </c>
      <c r="B1" s="7"/>
      <c r="H1" s="150" t="str">
        <f>IF(D2="","",1/(D2^2))</f>
        <v/>
      </c>
      <c r="I1" s="326"/>
    </row>
    <row r="2" spans="1:10" ht="12.75" customHeight="1" x14ac:dyDescent="0.2">
      <c r="A2" s="725" t="s">
        <v>200</v>
      </c>
      <c r="B2" s="725"/>
      <c r="C2" s="725"/>
      <c r="D2" s="725"/>
      <c r="E2" s="725"/>
      <c r="I2" s="326"/>
    </row>
    <row r="3" spans="1:10" ht="12.75" customHeight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10" ht="12.75" customHeight="1" x14ac:dyDescent="0.2">
      <c r="A4" s="687" t="s">
        <v>144</v>
      </c>
      <c r="B4" s="688"/>
      <c r="C4" s="688"/>
      <c r="D4" s="688"/>
      <c r="E4" s="688"/>
      <c r="F4" s="688"/>
      <c r="G4" s="689"/>
      <c r="H4" s="19"/>
      <c r="I4" s="19"/>
    </row>
    <row r="5" spans="1:10" ht="12.75" customHeight="1" x14ac:dyDescent="0.2">
      <c r="A5" s="693" t="s">
        <v>145</v>
      </c>
      <c r="B5" s="694"/>
      <c r="C5" s="694"/>
      <c r="D5" s="694"/>
      <c r="E5" s="694"/>
      <c r="F5" s="694"/>
      <c r="G5" s="695"/>
      <c r="H5" s="19"/>
      <c r="I5" s="19"/>
    </row>
    <row r="6" spans="1:10" ht="12.75" customHeight="1" x14ac:dyDescent="0.2"/>
    <row r="7" spans="1:10" ht="12.75" customHeight="1" x14ac:dyDescent="0.2">
      <c r="A7" s="97" t="s">
        <v>92</v>
      </c>
      <c r="B7" s="120"/>
      <c r="C7" s="120"/>
      <c r="D7" s="32"/>
      <c r="E7" s="106"/>
      <c r="F7" s="106"/>
      <c r="G7" s="106" t="str">
        <f>IF(E4="","",E4+1.96*F4)</f>
        <v/>
      </c>
      <c r="H7" s="19"/>
      <c r="I7" s="19"/>
    </row>
    <row r="8" spans="1:10" ht="12.75" customHeight="1" x14ac:dyDescent="0.2">
      <c r="A8" s="228">
        <v>1</v>
      </c>
      <c r="B8" s="315" t="s">
        <v>204</v>
      </c>
      <c r="C8" s="316"/>
      <c r="D8" s="316"/>
      <c r="E8" s="316"/>
      <c r="F8" s="316"/>
      <c r="G8" s="317"/>
      <c r="H8" s="19"/>
      <c r="I8" s="19"/>
    </row>
    <row r="9" spans="1:10" ht="12.75" customHeight="1" x14ac:dyDescent="0.2">
      <c r="A9" s="297"/>
      <c r="B9" s="675" t="s">
        <v>4</v>
      </c>
      <c r="C9" s="677"/>
      <c r="D9" s="297"/>
      <c r="E9" s="297"/>
      <c r="F9" s="297"/>
      <c r="G9" s="297"/>
      <c r="H9" s="297"/>
      <c r="I9" s="297"/>
    </row>
    <row r="10" spans="1:10" ht="12.75" customHeight="1" x14ac:dyDescent="0.2">
      <c r="A10" s="302" t="s">
        <v>107</v>
      </c>
      <c r="B10" s="222" t="s">
        <v>0</v>
      </c>
      <c r="C10" s="223" t="s">
        <v>182</v>
      </c>
      <c r="D10" s="313" t="s">
        <v>36</v>
      </c>
      <c r="E10" s="99" t="s">
        <v>5</v>
      </c>
      <c r="F10" s="97" t="s">
        <v>2</v>
      </c>
      <c r="G10" s="97" t="s">
        <v>12</v>
      </c>
      <c r="H10" s="403" t="s">
        <v>201</v>
      </c>
      <c r="I10" s="403" t="s">
        <v>202</v>
      </c>
      <c r="J10" s="417" t="s">
        <v>175</v>
      </c>
    </row>
    <row r="11" spans="1:10" ht="12.75" customHeight="1" x14ac:dyDescent="0.2">
      <c r="A11" s="35" t="str">
        <f>"2"</f>
        <v>2</v>
      </c>
      <c r="B11" s="88">
        <v>8</v>
      </c>
      <c r="C11" s="89">
        <v>98</v>
      </c>
      <c r="D11" s="221">
        <f>SUM(B11:C11)</f>
        <v>106</v>
      </c>
      <c r="E11" s="499">
        <f>IF(J11,B11*D12/(D11*B12),"")</f>
        <v>1.8113207547169812</v>
      </c>
      <c r="F11" s="117"/>
      <c r="G11" s="499">
        <f>IF(J11,EXP(G13),"")</f>
        <v>0.6111921939697097</v>
      </c>
      <c r="H11" s="32"/>
      <c r="I11" s="32"/>
      <c r="J11" s="19" t="b">
        <f>AND(B11&gt;0,INT(B11)=B11,C11&gt;0,INT(C11)=C11,B12&gt;0,INT(B12)=B12,C12&gt;0,INT(C12)=C12)</f>
        <v>1</v>
      </c>
    </row>
    <row r="12" spans="1:10" ht="12.75" customHeight="1" x14ac:dyDescent="0.2">
      <c r="A12" s="29" t="str">
        <f>"1 (Ref)"</f>
        <v>1 (Ref)</v>
      </c>
      <c r="B12" s="93">
        <v>5</v>
      </c>
      <c r="C12" s="94">
        <v>115</v>
      </c>
      <c r="D12" s="166">
        <f>SUM(B12:C12)</f>
        <v>120</v>
      </c>
      <c r="E12" s="197"/>
      <c r="F12" s="195"/>
      <c r="G12" s="102">
        <f>IF(J11,EXP(G14),"")</f>
        <v>5.3680052017010746</v>
      </c>
      <c r="H12" s="32"/>
      <c r="I12" s="32"/>
      <c r="J12" s="19"/>
    </row>
    <row r="13" spans="1:10" ht="12.75" customHeight="1" x14ac:dyDescent="0.2">
      <c r="A13" s="304" t="s">
        <v>36</v>
      </c>
      <c r="B13" s="224">
        <f>SUM(B11:B12)</f>
        <v>13</v>
      </c>
      <c r="C13" s="225">
        <f>SUM(C11:C12)</f>
        <v>213</v>
      </c>
      <c r="D13" s="305">
        <f>SUM(B13:C13)</f>
        <v>226</v>
      </c>
      <c r="E13" s="106">
        <f>IF(J11,LN(E11),"")</f>
        <v>0.59405627791571447</v>
      </c>
      <c r="F13" s="106">
        <f>IF(J11,SQRT(1/B11+1/B12-1/D11-1/D12),"")</f>
        <v>0.5542857605987328</v>
      </c>
      <c r="G13" s="106">
        <f>IF(J11,E13-1.96*F13,"")</f>
        <v>-0.49234381285780182</v>
      </c>
      <c r="H13" s="106">
        <f>IF(F13="","",1/(F13^2))</f>
        <v>3.2548618219037873</v>
      </c>
      <c r="I13" s="106">
        <f>IF(E13="","",E13*H13)</f>
        <v>1.9335710990501249</v>
      </c>
      <c r="J13" s="19"/>
    </row>
    <row r="14" spans="1:10" ht="12.75" customHeight="1" x14ac:dyDescent="0.2">
      <c r="A14" s="119"/>
      <c r="B14" s="120"/>
      <c r="C14" s="120"/>
      <c r="D14" s="318"/>
      <c r="E14" s="106"/>
      <c r="F14" s="106"/>
      <c r="G14" s="106">
        <f>IF(J11,E13+1.96*F13,"")</f>
        <v>1.6804563686892307</v>
      </c>
      <c r="H14" s="106"/>
      <c r="I14" s="106"/>
      <c r="J14" s="19"/>
    </row>
    <row r="15" spans="1:10" ht="12.75" customHeight="1" x14ac:dyDescent="0.2">
      <c r="A15" s="97" t="s">
        <v>92</v>
      </c>
      <c r="B15" s="120"/>
      <c r="C15" s="120"/>
      <c r="D15" s="32"/>
      <c r="E15" s="106"/>
      <c r="F15" s="106"/>
      <c r="G15" s="106" t="str">
        <f>IF(E12="","",E12+1.96*F12)</f>
        <v/>
      </c>
      <c r="H15" s="19"/>
      <c r="I15" s="19"/>
      <c r="J15" s="470"/>
    </row>
    <row r="16" spans="1:10" ht="12.75" customHeight="1" x14ac:dyDescent="0.2">
      <c r="A16" s="228">
        <v>2</v>
      </c>
      <c r="B16" s="596" t="s">
        <v>205</v>
      </c>
      <c r="C16" s="597"/>
      <c r="D16" s="597"/>
      <c r="E16" s="597"/>
      <c r="F16" s="597"/>
      <c r="G16" s="598"/>
      <c r="H16" s="19"/>
      <c r="I16" s="19"/>
      <c r="J16" s="470"/>
    </row>
    <row r="17" spans="1:10" ht="12.75" customHeight="1" x14ac:dyDescent="0.2">
      <c r="A17" s="470"/>
      <c r="B17" s="675" t="s">
        <v>4</v>
      </c>
      <c r="C17" s="677"/>
      <c r="D17" s="470"/>
      <c r="E17" s="470"/>
      <c r="F17" s="470"/>
      <c r="G17" s="470"/>
      <c r="H17" s="470"/>
      <c r="I17" s="470"/>
      <c r="J17" s="470"/>
    </row>
    <row r="18" spans="1:10" ht="12.75" customHeight="1" x14ac:dyDescent="0.2">
      <c r="A18" s="591" t="s">
        <v>107</v>
      </c>
      <c r="B18" s="222" t="s">
        <v>0</v>
      </c>
      <c r="C18" s="223" t="s">
        <v>182</v>
      </c>
      <c r="D18" s="590" t="s">
        <v>36</v>
      </c>
      <c r="E18" s="99" t="s">
        <v>5</v>
      </c>
      <c r="F18" s="97" t="s">
        <v>2</v>
      </c>
      <c r="G18" s="97" t="s">
        <v>12</v>
      </c>
      <c r="H18" s="403" t="s">
        <v>201</v>
      </c>
      <c r="I18" s="403" t="s">
        <v>202</v>
      </c>
      <c r="J18" s="417" t="s">
        <v>175</v>
      </c>
    </row>
    <row r="19" spans="1:10" ht="12.75" customHeight="1" x14ac:dyDescent="0.2">
      <c r="A19" s="35" t="str">
        <f>"2"</f>
        <v>2</v>
      </c>
      <c r="B19" s="88">
        <v>22</v>
      </c>
      <c r="C19" s="89">
        <v>76</v>
      </c>
      <c r="D19" s="221">
        <f>SUM(B19:C19)</f>
        <v>98</v>
      </c>
      <c r="E19" s="499">
        <f>IF(J19,B19*D20/(D19*B20),"")</f>
        <v>1.1926020408163265</v>
      </c>
      <c r="F19" s="117"/>
      <c r="G19" s="499">
        <f>IF(J19,EXP(G21),"")</f>
        <v>0.67125933613538424</v>
      </c>
      <c r="H19" s="32"/>
      <c r="I19" s="32"/>
      <c r="J19" s="19" t="b">
        <f>AND(B19&gt;0,INT(B19)=B19,C19&gt;0,INT(C19)=C19,B20&gt;0,INT(B20)=B20,C20&gt;0,INT(C20)=C20)</f>
        <v>1</v>
      </c>
    </row>
    <row r="20" spans="1:10" ht="12.75" customHeight="1" x14ac:dyDescent="0.2">
      <c r="A20" s="29" t="str">
        <f>"1 (Ref)"</f>
        <v>1 (Ref)</v>
      </c>
      <c r="B20" s="93">
        <v>16</v>
      </c>
      <c r="C20" s="94">
        <v>69</v>
      </c>
      <c r="D20" s="166">
        <f>SUM(B20:C20)</f>
        <v>85</v>
      </c>
      <c r="E20" s="197"/>
      <c r="F20" s="195"/>
      <c r="G20" s="102">
        <f>IF(J19,EXP(G22),"")</f>
        <v>2.1188526567806392</v>
      </c>
      <c r="H20" s="32"/>
      <c r="I20" s="32"/>
      <c r="J20" s="19"/>
    </row>
    <row r="21" spans="1:10" ht="12.75" customHeight="1" x14ac:dyDescent="0.2">
      <c r="A21" s="592" t="s">
        <v>36</v>
      </c>
      <c r="B21" s="224">
        <f>SUM(B19:B20)</f>
        <v>38</v>
      </c>
      <c r="C21" s="225">
        <f>SUM(C19:C20)</f>
        <v>145</v>
      </c>
      <c r="D21" s="593">
        <f>SUM(B21:C21)</f>
        <v>183</v>
      </c>
      <c r="E21" s="106">
        <f>IF(J19,LN(E19),"")</f>
        <v>0.17613750893827912</v>
      </c>
      <c r="F21" s="106">
        <f>IF(J19,SQRT(1/B19+1/B20-1/D19-1/D20),"")</f>
        <v>0.29323328245535063</v>
      </c>
      <c r="G21" s="106">
        <f>IF(J19,E21-1.96*F21,"")</f>
        <v>-0.39859972467420807</v>
      </c>
      <c r="H21" s="106">
        <f>IF(F21="","",1/(F21^2))</f>
        <v>11.629832939347306</v>
      </c>
      <c r="I21" s="106">
        <f>IF(E21="","",E21*H21)</f>
        <v>2.0484498033049792</v>
      </c>
      <c r="J21" s="19"/>
    </row>
    <row r="22" spans="1:10" ht="12.75" customHeight="1" x14ac:dyDescent="0.2">
      <c r="A22" s="119"/>
      <c r="B22" s="120"/>
      <c r="C22" s="120"/>
      <c r="D22" s="427"/>
      <c r="E22" s="106"/>
      <c r="F22" s="106"/>
      <c r="G22" s="106">
        <f>IF(J19,E21+1.96*F21,"")</f>
        <v>0.75087474255076625</v>
      </c>
      <c r="H22" s="106"/>
      <c r="I22" s="106"/>
      <c r="J22" s="19"/>
    </row>
    <row r="23" spans="1:10" ht="12.75" customHeight="1" x14ac:dyDescent="0.2">
      <c r="A23" s="97" t="s">
        <v>92</v>
      </c>
      <c r="B23" s="120"/>
      <c r="C23" s="120"/>
      <c r="D23" s="32"/>
      <c r="E23" s="106"/>
      <c r="F23" s="106"/>
      <c r="G23" s="106" t="str">
        <f>IF(E20="","",E20+1.96*F20)</f>
        <v/>
      </c>
      <c r="H23" s="19"/>
      <c r="I23" s="19"/>
      <c r="J23" s="470"/>
    </row>
    <row r="24" spans="1:10" ht="12.75" customHeight="1" x14ac:dyDescent="0.2">
      <c r="A24" s="228">
        <v>3</v>
      </c>
      <c r="B24" s="596"/>
      <c r="C24" s="597"/>
      <c r="D24" s="597"/>
      <c r="E24" s="597"/>
      <c r="F24" s="597"/>
      <c r="G24" s="598"/>
      <c r="H24" s="19"/>
      <c r="I24" s="19"/>
      <c r="J24" s="470"/>
    </row>
    <row r="25" spans="1:10" ht="12.75" customHeight="1" x14ac:dyDescent="0.2">
      <c r="A25" s="470"/>
      <c r="B25" s="675" t="s">
        <v>4</v>
      </c>
      <c r="C25" s="677"/>
      <c r="D25" s="470"/>
      <c r="E25" s="470"/>
      <c r="F25" s="470"/>
      <c r="G25" s="470"/>
      <c r="H25" s="470"/>
      <c r="I25" s="470"/>
      <c r="J25" s="470"/>
    </row>
    <row r="26" spans="1:10" ht="12.75" customHeight="1" x14ac:dyDescent="0.2">
      <c r="A26" s="591" t="s">
        <v>107</v>
      </c>
      <c r="B26" s="222" t="s">
        <v>0</v>
      </c>
      <c r="C26" s="223" t="s">
        <v>182</v>
      </c>
      <c r="D26" s="590" t="s">
        <v>36</v>
      </c>
      <c r="E26" s="99" t="s">
        <v>5</v>
      </c>
      <c r="F26" s="97" t="s">
        <v>2</v>
      </c>
      <c r="G26" s="97" t="s">
        <v>12</v>
      </c>
      <c r="H26" s="403" t="s">
        <v>201</v>
      </c>
      <c r="I26" s="403" t="s">
        <v>202</v>
      </c>
      <c r="J26" s="417" t="s">
        <v>175</v>
      </c>
    </row>
    <row r="27" spans="1:10" ht="12.75" customHeight="1" x14ac:dyDescent="0.2">
      <c r="A27" s="35" t="str">
        <f>"2"</f>
        <v>2</v>
      </c>
      <c r="B27" s="88"/>
      <c r="C27" s="89"/>
      <c r="D27" s="221">
        <f>SUM(B27:C27)</f>
        <v>0</v>
      </c>
      <c r="E27" s="499" t="str">
        <f>IF(J27,B27*D28/(D27*B28),"")</f>
        <v/>
      </c>
      <c r="F27" s="117"/>
      <c r="G27" s="499" t="str">
        <f>IF(J27,EXP(G29),"")</f>
        <v/>
      </c>
      <c r="H27" s="32"/>
      <c r="I27" s="32"/>
      <c r="J27" s="19" t="b">
        <f>AND(B27&gt;0,INT(B27)=B27,C27&gt;0,INT(C27)=C27,B28&gt;0,INT(B28)=B28,C28&gt;0,INT(C28)=C28)</f>
        <v>0</v>
      </c>
    </row>
    <row r="28" spans="1:10" ht="12.75" customHeight="1" x14ac:dyDescent="0.2">
      <c r="A28" s="29" t="str">
        <f>"1 (Ref)"</f>
        <v>1 (Ref)</v>
      </c>
      <c r="B28" s="93"/>
      <c r="C28" s="94"/>
      <c r="D28" s="166">
        <f>SUM(B28:C28)</f>
        <v>0</v>
      </c>
      <c r="E28" s="197"/>
      <c r="F28" s="195"/>
      <c r="G28" s="102" t="str">
        <f>IF(J27,EXP(G30),"")</f>
        <v/>
      </c>
      <c r="H28" s="32"/>
      <c r="I28" s="32"/>
      <c r="J28" s="19"/>
    </row>
    <row r="29" spans="1:10" ht="12.75" customHeight="1" x14ac:dyDescent="0.2">
      <c r="A29" s="592" t="s">
        <v>36</v>
      </c>
      <c r="B29" s="224">
        <f>SUM(B27:B28)</f>
        <v>0</v>
      </c>
      <c r="C29" s="225">
        <f>SUM(C27:C28)</f>
        <v>0</v>
      </c>
      <c r="D29" s="593">
        <f>SUM(B29:C29)</f>
        <v>0</v>
      </c>
      <c r="E29" s="106" t="str">
        <f>IF(J27,LN(E27),"")</f>
        <v/>
      </c>
      <c r="F29" s="106" t="str">
        <f>IF(J27,SQRT(1/B27+1/B28-1/D27-1/D28),"")</f>
        <v/>
      </c>
      <c r="G29" s="106" t="str">
        <f>IF(J27,E29-1.96*F29,"")</f>
        <v/>
      </c>
      <c r="H29" s="106" t="str">
        <f>IF(F29="","",1/(F29^2))</f>
        <v/>
      </c>
      <c r="I29" s="106" t="str">
        <f>IF(E29="","",E29*H29)</f>
        <v/>
      </c>
      <c r="J29" s="19"/>
    </row>
    <row r="30" spans="1:10" ht="12.75" customHeight="1" x14ac:dyDescent="0.2">
      <c r="A30" s="119"/>
      <c r="B30" s="120"/>
      <c r="C30" s="120"/>
      <c r="D30" s="427"/>
      <c r="E30" s="106"/>
      <c r="F30" s="106"/>
      <c r="G30" s="106" t="str">
        <f>IF(J27,E29+1.96*F29,"")</f>
        <v/>
      </c>
      <c r="H30" s="106"/>
      <c r="I30" s="106"/>
      <c r="J30" s="19"/>
    </row>
    <row r="31" spans="1:10" ht="12.75" customHeight="1" x14ac:dyDescent="0.2">
      <c r="A31" s="97" t="s">
        <v>92</v>
      </c>
      <c r="B31" s="120"/>
      <c r="C31" s="120"/>
      <c r="D31" s="32"/>
      <c r="E31" s="106"/>
      <c r="F31" s="106"/>
      <c r="G31" s="106" t="str">
        <f>IF(E28="","",E28+1.96*F28)</f>
        <v/>
      </c>
      <c r="H31" s="19"/>
      <c r="I31" s="19"/>
      <c r="J31" s="470"/>
    </row>
    <row r="32" spans="1:10" ht="12.75" customHeight="1" x14ac:dyDescent="0.2">
      <c r="A32" s="228">
        <v>4</v>
      </c>
      <c r="B32" s="596"/>
      <c r="C32" s="597"/>
      <c r="D32" s="597"/>
      <c r="E32" s="597"/>
      <c r="F32" s="597"/>
      <c r="G32" s="598"/>
      <c r="H32" s="19"/>
      <c r="I32" s="19"/>
      <c r="J32" s="470"/>
    </row>
    <row r="33" spans="1:10" ht="12.75" customHeight="1" x14ac:dyDescent="0.2">
      <c r="A33" s="470"/>
      <c r="B33" s="675" t="s">
        <v>4</v>
      </c>
      <c r="C33" s="677"/>
      <c r="D33" s="470"/>
      <c r="E33" s="470"/>
      <c r="F33" s="470"/>
      <c r="G33" s="470"/>
      <c r="H33" s="470"/>
      <c r="I33" s="470"/>
      <c r="J33" s="470"/>
    </row>
    <row r="34" spans="1:10" ht="12.75" customHeight="1" x14ac:dyDescent="0.2">
      <c r="A34" s="591" t="s">
        <v>107</v>
      </c>
      <c r="B34" s="222" t="s">
        <v>0</v>
      </c>
      <c r="C34" s="223" t="s">
        <v>182</v>
      </c>
      <c r="D34" s="590" t="s">
        <v>36</v>
      </c>
      <c r="E34" s="99" t="s">
        <v>5</v>
      </c>
      <c r="F34" s="97" t="s">
        <v>2</v>
      </c>
      <c r="G34" s="97" t="s">
        <v>12</v>
      </c>
      <c r="H34" s="403" t="s">
        <v>201</v>
      </c>
      <c r="I34" s="403" t="s">
        <v>202</v>
      </c>
      <c r="J34" s="417" t="s">
        <v>175</v>
      </c>
    </row>
    <row r="35" spans="1:10" ht="12.75" customHeight="1" x14ac:dyDescent="0.2">
      <c r="A35" s="35" t="str">
        <f>"2"</f>
        <v>2</v>
      </c>
      <c r="B35" s="88"/>
      <c r="C35" s="89"/>
      <c r="D35" s="221">
        <f>SUM(B35:C35)</f>
        <v>0</v>
      </c>
      <c r="E35" s="499" t="str">
        <f>IF(J35,B35*D36/(D35*B36),"")</f>
        <v/>
      </c>
      <c r="F35" s="117"/>
      <c r="G35" s="499" t="str">
        <f>IF(J35,EXP(G37),"")</f>
        <v/>
      </c>
      <c r="H35" s="32"/>
      <c r="I35" s="32"/>
      <c r="J35" s="19" t="b">
        <f>AND(B35&gt;0,INT(B35)=B35,C35&gt;0,INT(C35)=C35,B36&gt;0,INT(B36)=B36,C36&gt;0,INT(C36)=C36)</f>
        <v>0</v>
      </c>
    </row>
    <row r="36" spans="1:10" ht="12.75" customHeight="1" x14ac:dyDescent="0.2">
      <c r="A36" s="29" t="str">
        <f>"1 (Ref)"</f>
        <v>1 (Ref)</v>
      </c>
      <c r="B36" s="93"/>
      <c r="C36" s="94"/>
      <c r="D36" s="166">
        <f>SUM(B36:C36)</f>
        <v>0</v>
      </c>
      <c r="E36" s="197"/>
      <c r="F36" s="195"/>
      <c r="G36" s="102" t="str">
        <f>IF(J35,EXP(G38),"")</f>
        <v/>
      </c>
      <c r="H36" s="32"/>
      <c r="I36" s="32"/>
      <c r="J36" s="19"/>
    </row>
    <row r="37" spans="1:10" ht="12.75" customHeight="1" x14ac:dyDescent="0.2">
      <c r="A37" s="592" t="s">
        <v>36</v>
      </c>
      <c r="B37" s="224">
        <f>SUM(B35:B36)</f>
        <v>0</v>
      </c>
      <c r="C37" s="225">
        <f>SUM(C35:C36)</f>
        <v>0</v>
      </c>
      <c r="D37" s="593">
        <f>SUM(B37:C37)</f>
        <v>0</v>
      </c>
      <c r="E37" s="106" t="str">
        <f>IF(J35,LN(E35),"")</f>
        <v/>
      </c>
      <c r="F37" s="106" t="str">
        <f>IF(J35,SQRT(1/B35+1/B36-1/D35-1/D36),"")</f>
        <v/>
      </c>
      <c r="G37" s="106" t="str">
        <f>IF(J35,E37-1.96*F37,"")</f>
        <v/>
      </c>
      <c r="H37" s="106" t="str">
        <f>IF(F37="","",1/(F37^2))</f>
        <v/>
      </c>
      <c r="I37" s="106" t="str">
        <f>IF(E37="","",E37*H37)</f>
        <v/>
      </c>
      <c r="J37" s="19"/>
    </row>
    <row r="38" spans="1:10" ht="12.75" customHeight="1" x14ac:dyDescent="0.2">
      <c r="A38" s="119"/>
      <c r="B38" s="120"/>
      <c r="C38" s="120"/>
      <c r="D38" s="427"/>
      <c r="E38" s="106"/>
      <c r="F38" s="106"/>
      <c r="G38" s="106" t="str">
        <f>IF(J35,E37+1.96*F37,"")</f>
        <v/>
      </c>
      <c r="H38" s="106"/>
      <c r="I38" s="106"/>
      <c r="J38" s="19"/>
    </row>
    <row r="39" spans="1:10" ht="12.75" customHeight="1" x14ac:dyDescent="0.2">
      <c r="A39" s="97" t="s">
        <v>92</v>
      </c>
      <c r="B39" s="120"/>
      <c r="C39" s="120"/>
      <c r="D39" s="32"/>
      <c r="E39" s="106"/>
      <c r="F39" s="106"/>
      <c r="G39" s="106" t="str">
        <f>IF(E36="","",E36+1.96*F36)</f>
        <v/>
      </c>
      <c r="H39" s="19"/>
      <c r="I39" s="19"/>
      <c r="J39" s="470"/>
    </row>
    <row r="40" spans="1:10" ht="12.75" customHeight="1" x14ac:dyDescent="0.2">
      <c r="A40" s="228">
        <v>5</v>
      </c>
      <c r="B40" s="596"/>
      <c r="C40" s="597"/>
      <c r="D40" s="597"/>
      <c r="E40" s="597"/>
      <c r="F40" s="597"/>
      <c r="G40" s="598"/>
      <c r="H40" s="19"/>
      <c r="I40" s="19"/>
      <c r="J40" s="470"/>
    </row>
    <row r="41" spans="1:10" ht="12.75" customHeight="1" x14ac:dyDescent="0.2">
      <c r="A41" s="470"/>
      <c r="B41" s="675" t="s">
        <v>4</v>
      </c>
      <c r="C41" s="677"/>
      <c r="D41" s="470"/>
      <c r="E41" s="470"/>
      <c r="F41" s="470"/>
      <c r="G41" s="470"/>
      <c r="H41" s="470"/>
      <c r="I41" s="470"/>
      <c r="J41" s="470"/>
    </row>
    <row r="42" spans="1:10" ht="12.75" customHeight="1" x14ac:dyDescent="0.2">
      <c r="A42" s="591" t="s">
        <v>107</v>
      </c>
      <c r="B42" s="222" t="s">
        <v>0</v>
      </c>
      <c r="C42" s="223" t="s">
        <v>182</v>
      </c>
      <c r="D42" s="590" t="s">
        <v>36</v>
      </c>
      <c r="E42" s="99" t="s">
        <v>5</v>
      </c>
      <c r="F42" s="97" t="s">
        <v>2</v>
      </c>
      <c r="G42" s="97" t="s">
        <v>12</v>
      </c>
      <c r="H42" s="403" t="s">
        <v>201</v>
      </c>
      <c r="I42" s="403" t="s">
        <v>202</v>
      </c>
      <c r="J42" s="417" t="s">
        <v>175</v>
      </c>
    </row>
    <row r="43" spans="1:10" ht="12.75" customHeight="1" x14ac:dyDescent="0.2">
      <c r="A43" s="35" t="str">
        <f>"2"</f>
        <v>2</v>
      </c>
      <c r="B43" s="88"/>
      <c r="C43" s="89"/>
      <c r="D43" s="221">
        <f>SUM(B43:C43)</f>
        <v>0</v>
      </c>
      <c r="E43" s="499" t="str">
        <f>IF(J43,B43*D44/(D43*B44),"")</f>
        <v/>
      </c>
      <c r="F43" s="117"/>
      <c r="G43" s="499" t="str">
        <f>IF(J43,EXP(G45),"")</f>
        <v/>
      </c>
      <c r="H43" s="32"/>
      <c r="I43" s="32"/>
      <c r="J43" s="19" t="b">
        <f>AND(B43&gt;0,INT(B43)=B43,C43&gt;0,INT(C43)=C43,B44&gt;0,INT(B44)=B44,C44&gt;0,INT(C44)=C44)</f>
        <v>0</v>
      </c>
    </row>
    <row r="44" spans="1:10" ht="12.75" customHeight="1" x14ac:dyDescent="0.2">
      <c r="A44" s="29" t="str">
        <f>"1 (Ref)"</f>
        <v>1 (Ref)</v>
      </c>
      <c r="B44" s="93"/>
      <c r="C44" s="94"/>
      <c r="D44" s="166">
        <f>SUM(B44:C44)</f>
        <v>0</v>
      </c>
      <c r="E44" s="197"/>
      <c r="F44" s="195"/>
      <c r="G44" s="102" t="str">
        <f>IF(J43,EXP(G46),"")</f>
        <v/>
      </c>
      <c r="H44" s="32"/>
      <c r="I44" s="32"/>
      <c r="J44" s="19"/>
    </row>
    <row r="45" spans="1:10" ht="12.75" customHeight="1" x14ac:dyDescent="0.2">
      <c r="A45" s="592" t="s">
        <v>36</v>
      </c>
      <c r="B45" s="224">
        <f>SUM(B43:B44)</f>
        <v>0</v>
      </c>
      <c r="C45" s="225">
        <f>SUM(C43:C44)</f>
        <v>0</v>
      </c>
      <c r="D45" s="593">
        <f>SUM(B45:C45)</f>
        <v>0</v>
      </c>
      <c r="E45" s="106" t="str">
        <f>IF(J43,LN(E43),"")</f>
        <v/>
      </c>
      <c r="F45" s="106" t="str">
        <f>IF(J43,SQRT(1/B43+1/B44-1/D43-1/D44),"")</f>
        <v/>
      </c>
      <c r="G45" s="106" t="str">
        <f>IF(J43,E45-1.96*F45,"")</f>
        <v/>
      </c>
      <c r="H45" s="106" t="str">
        <f>IF(F45="","",1/(F45^2))</f>
        <v/>
      </c>
      <c r="I45" s="106" t="str">
        <f>IF(E45="","",E45*H45)</f>
        <v/>
      </c>
      <c r="J45" s="19"/>
    </row>
    <row r="46" spans="1:10" ht="12.75" customHeight="1" x14ac:dyDescent="0.2">
      <c r="A46" s="119"/>
      <c r="B46" s="120"/>
      <c r="C46" s="120"/>
      <c r="D46" s="427"/>
      <c r="E46" s="106"/>
      <c r="F46" s="106"/>
      <c r="G46" s="106" t="str">
        <f>IF(J43,E45+1.96*F45,"")</f>
        <v/>
      </c>
      <c r="H46" s="106"/>
      <c r="I46" s="106"/>
      <c r="J46" s="19"/>
    </row>
    <row r="47" spans="1:10" ht="12.75" customHeight="1" x14ac:dyDescent="0.2">
      <c r="A47" s="297"/>
      <c r="B47" s="297"/>
      <c r="C47" s="297"/>
      <c r="D47" s="297"/>
      <c r="E47" s="297"/>
      <c r="F47" s="297"/>
      <c r="G47" s="297"/>
      <c r="H47" s="297"/>
      <c r="I47" s="297"/>
      <c r="J47" s="19"/>
    </row>
    <row r="48" spans="1:10" ht="12.75" customHeight="1" x14ac:dyDescent="0.2">
      <c r="C48" s="553" t="s">
        <v>16</v>
      </c>
      <c r="D48" s="150"/>
      <c r="E48" s="150"/>
      <c r="H48" s="150"/>
      <c r="I48" s="150"/>
      <c r="J48" s="19"/>
    </row>
    <row r="49" spans="1:10" ht="12.75" customHeight="1" x14ac:dyDescent="0.2">
      <c r="C49" s="99" t="s">
        <v>5</v>
      </c>
      <c r="D49" s="97" t="s">
        <v>2</v>
      </c>
      <c r="E49" s="100" t="s">
        <v>12</v>
      </c>
      <c r="H49" s="19"/>
      <c r="I49" s="19"/>
      <c r="J49" s="19" t="b">
        <f>IF(COUNTIF(J11:J43,TRUE)&gt;0,TRUE,FALSE)</f>
        <v>1</v>
      </c>
    </row>
    <row r="50" spans="1:10" ht="12.75" customHeight="1" x14ac:dyDescent="0.2">
      <c r="C50" s="125">
        <f>IF(J49,EXP(C52),"")</f>
        <v>1.3067256774681171</v>
      </c>
      <c r="D50" s="194"/>
      <c r="E50" s="125">
        <f>IF(J49,EXP(E52),"")</f>
        <v>0.78623333393565698</v>
      </c>
      <c r="H50" s="105"/>
      <c r="I50" s="105"/>
      <c r="J50" s="19"/>
    </row>
    <row r="51" spans="1:10" ht="12.75" customHeight="1" x14ac:dyDescent="0.2">
      <c r="C51" s="197"/>
      <c r="D51" s="195"/>
      <c r="E51" s="498">
        <f>IF(J49,EXP(E53),"")</f>
        <v>2.1717878426841781</v>
      </c>
      <c r="H51" s="105"/>
      <c r="I51" s="105"/>
      <c r="J51" s="19"/>
    </row>
    <row r="52" spans="1:10" ht="12.75" customHeight="1" x14ac:dyDescent="0.2">
      <c r="C52" s="106">
        <f>IF(J49,I52/H52,"")</f>
        <v>0.26752452544215999</v>
      </c>
      <c r="D52" s="106">
        <f>IF(J49,SQRT(1/H52),"")</f>
        <v>0.25919703751861706</v>
      </c>
      <c r="E52" s="106">
        <f>IF(J49,C52-1.96*D52,"")</f>
        <v>-0.24050166809432938</v>
      </c>
      <c r="H52" s="106">
        <f>IF(J49,SUMIF(H13:H45,"&gt;0"),"")</f>
        <v>14.884694761251094</v>
      </c>
      <c r="I52" s="106">
        <f>IF(J49,SUMIF(I13:I45,"&lt;&gt;0"),"")</f>
        <v>3.9820209023551039</v>
      </c>
      <c r="J52" s="19"/>
    </row>
    <row r="53" spans="1:10" ht="12.75" customHeight="1" x14ac:dyDescent="0.2">
      <c r="C53" s="106"/>
      <c r="D53" s="106"/>
      <c r="E53" s="106">
        <f>IF(J49,C52+1.96*D52,"")</f>
        <v>0.77555071897864936</v>
      </c>
      <c r="H53" s="106"/>
      <c r="I53" s="106"/>
    </row>
    <row r="54" spans="1:10" ht="12.75" customHeight="1" x14ac:dyDescent="0.2">
      <c r="A54" s="301"/>
      <c r="B54" s="314"/>
      <c r="C54" s="318"/>
      <c r="D54" s="318"/>
      <c r="E54" s="106"/>
      <c r="F54" s="106"/>
      <c r="G54" s="106"/>
      <c r="H54" s="106"/>
      <c r="I54" s="106"/>
    </row>
    <row r="55" spans="1:10" ht="12.75" customHeight="1" x14ac:dyDescent="0.2">
      <c r="A55" s="723" t="s">
        <v>110</v>
      </c>
      <c r="B55" s="724"/>
      <c r="C55" s="492">
        <v>1</v>
      </c>
      <c r="D55" s="158" t="s">
        <v>14</v>
      </c>
      <c r="E55" s="404">
        <f>IF(J55,(C52-LN(C55))/D52,"")</f>
        <v>1.0321280212276531</v>
      </c>
      <c r="F55" s="158" t="s">
        <v>203</v>
      </c>
      <c r="G55" s="404">
        <f>IF(J55,IF(2*(1-NORMSDIST(ABS(E55)))&gt;=0.001,2*(1-NORMSDIST(ABS(E55))),"&lt;0.001"),"")</f>
        <v>0.30201214856809644</v>
      </c>
      <c r="H55" s="106"/>
      <c r="I55" s="106"/>
      <c r="J55" s="406" t="b">
        <f>AND(J49,NOT(ISBLANK(C55)))</f>
        <v>1</v>
      </c>
    </row>
    <row r="56" spans="1:10" ht="12.75" customHeight="1" x14ac:dyDescent="0.2"/>
    <row r="57" spans="1:10" ht="12.75" customHeight="1" x14ac:dyDescent="0.2"/>
    <row r="58" spans="1:10" ht="12.75" customHeight="1" x14ac:dyDescent="0.2">
      <c r="A58" s="554" t="s">
        <v>206</v>
      </c>
      <c r="B58" s="378"/>
      <c r="C58" s="378"/>
      <c r="D58" s="378"/>
      <c r="E58" s="106"/>
      <c r="F58" s="106"/>
      <c r="G58" s="106"/>
    </row>
    <row r="59" spans="1:10" ht="12.75" customHeight="1" x14ac:dyDescent="0.2">
      <c r="A59" s="37" t="s">
        <v>92</v>
      </c>
      <c r="B59" s="303" t="s">
        <v>158</v>
      </c>
      <c r="C59" s="474" t="s">
        <v>5</v>
      </c>
      <c r="D59" s="675" t="s">
        <v>12</v>
      </c>
      <c r="E59" s="677"/>
      <c r="F59" s="277" t="s">
        <v>159</v>
      </c>
      <c r="G59" s="106"/>
    </row>
    <row r="60" spans="1:10" ht="12.75" customHeight="1" x14ac:dyDescent="0.2">
      <c r="A60" s="170">
        <v>1</v>
      </c>
      <c r="B60" s="423" t="str">
        <f>IF(J60,IF(ISBLANK(CHOOSE(A60,B8,B16,B24,B32,B40)),"",CHOOSE(A60,B8,B16,B24,B32,B40)),"")</f>
        <v>Age &lt; 55</v>
      </c>
      <c r="C60" s="423">
        <f>IF(J60,CHOOSE(A60,E11,E19,E27,E35,E43),"")</f>
        <v>1.8113207547169812</v>
      </c>
      <c r="D60" s="111">
        <f>IF(J60,CHOOSE(A60,G11,G19,G27,G35,G43),"")</f>
        <v>0.6111921939697097</v>
      </c>
      <c r="E60" s="112">
        <f>IF(J60,CHOOSE(A60,G12,G20,G28,G36,G44),"")</f>
        <v>5.3680052017010746</v>
      </c>
      <c r="F60" s="231">
        <f>IF(J60,CHOOSE(A60,F13,F21,F29,F37,F45),"")</f>
        <v>0.5542857605987328</v>
      </c>
      <c r="G60" s="106"/>
      <c r="J60" s="19" t="b">
        <f>IF(NOT(ISBLANK(A60)),CHOOSE(A60,J11,J19,J27,J35,J43),FALSE)</f>
        <v>1</v>
      </c>
    </row>
    <row r="61" spans="1:10" ht="12.75" customHeight="1" x14ac:dyDescent="0.2">
      <c r="A61" s="164">
        <v>2</v>
      </c>
      <c r="B61" s="424" t="str">
        <f>IF(J61,IF(ISBLANK(CHOOSE(A61,B8,B16,B24,B32,B40)),"",CHOOSE(A61,B8,B16,B24,B32,B40)),"")</f>
        <v>Age &gt; 55</v>
      </c>
      <c r="C61" s="424">
        <f>IF(J61,CHOOSE(A61,E11,E19,E27,E35,E43),"")</f>
        <v>1.1926020408163265</v>
      </c>
      <c r="D61" s="113">
        <f>IF(J61,CHOOSE(A61,G11,G19,G27,G35,G43),"")</f>
        <v>0.67125933613538424</v>
      </c>
      <c r="E61" s="114">
        <f>IF(J61,CHOOSE(A61,G12,G20,G28,G36,G44),"")</f>
        <v>2.1188526567806392</v>
      </c>
      <c r="F61" s="232">
        <f>IF(J61,CHOOSE(A61,F13,F21,F29,F37,F45),"")</f>
        <v>0.29323328245535063</v>
      </c>
      <c r="G61" s="106"/>
      <c r="J61" s="19" t="b">
        <f>IF(NOT(ISBLANK(A61)),CHOOSE(A61,J11,J19,J27,J35,J43),FALSE)</f>
        <v>1</v>
      </c>
    </row>
    <row r="62" spans="1:10" ht="12.75" customHeight="1" x14ac:dyDescent="0.2">
      <c r="A62" s="29" t="s">
        <v>114</v>
      </c>
      <c r="B62" s="103"/>
      <c r="C62" s="95">
        <f>IF(J62,C60/C61,"")</f>
        <v>1.518797295933811</v>
      </c>
      <c r="D62" s="496">
        <f>IF(J62,EXP(LN(C62)-1.96*F62),"")</f>
        <v>0.4443507492775115</v>
      </c>
      <c r="E62" s="497">
        <f>IF(J62,EXP(LN(C62)+1.96*F62),"")</f>
        <v>5.1912711520943526</v>
      </c>
      <c r="F62" s="229">
        <f>IF(J62,SQRT(F60^2+F61^2),"")</f>
        <v>0.62707133752233901</v>
      </c>
      <c r="G62" s="106"/>
      <c r="H62" s="106"/>
      <c r="I62" s="106"/>
      <c r="J62" s="19" t="b">
        <f>AND(J60,J61)</f>
        <v>1</v>
      </c>
    </row>
    <row r="63" spans="1:10" ht="12.75" customHeight="1" x14ac:dyDescent="0.2">
      <c r="A63" s="34"/>
      <c r="B63" s="303"/>
      <c r="C63" s="108"/>
      <c r="D63" s="108"/>
      <c r="E63" s="85"/>
      <c r="F63" s="106"/>
      <c r="G63" s="106"/>
      <c r="H63" s="106"/>
      <c r="I63" s="106"/>
      <c r="J63" s="19"/>
    </row>
    <row r="64" spans="1:10" ht="12.75" customHeight="1" x14ac:dyDescent="0.2">
      <c r="A64" s="723" t="s">
        <v>115</v>
      </c>
      <c r="B64" s="724"/>
      <c r="C64" s="492">
        <v>1</v>
      </c>
      <c r="D64" s="318" t="s">
        <v>14</v>
      </c>
      <c r="E64" s="404">
        <f>IF(J64,(LN(C62)-LN(C64))/F62,"")</f>
        <v>0.6664612843391956</v>
      </c>
      <c r="F64" s="318" t="s">
        <v>203</v>
      </c>
      <c r="G64" s="404">
        <f>IF(J64,IF(2*(1-NORMSDIST(ABS(E64)))&gt;=0.001,2*(1-NORMSDIST(ABS(E64))),"&lt;0.001"),"")</f>
        <v>0.50511630202637625</v>
      </c>
      <c r="H64" s="106"/>
      <c r="I64" s="106"/>
      <c r="J64" s="19" t="b">
        <f>AND(J62,NOT(ISBLANK(C64)))</f>
        <v>1</v>
      </c>
    </row>
    <row r="65" spans="1:10" ht="12.75" customHeight="1" x14ac:dyDescent="0.2">
      <c r="H65" s="106"/>
      <c r="I65" s="106"/>
    </row>
    <row r="66" spans="1:10" ht="12.75" customHeight="1" x14ac:dyDescent="0.2">
      <c r="A66" s="135" t="s">
        <v>17</v>
      </c>
      <c r="B66" s="19"/>
      <c r="C66" s="19"/>
      <c r="D66" s="19"/>
      <c r="E66" s="19"/>
      <c r="F66" s="19"/>
      <c r="G66" s="19"/>
      <c r="H66" s="106"/>
      <c r="I66" s="106"/>
    </row>
    <row r="67" spans="1:10" ht="12.75" customHeight="1" x14ac:dyDescent="0.2">
      <c r="B67" s="675" t="s">
        <v>4</v>
      </c>
      <c r="C67" s="677"/>
      <c r="H67" s="106"/>
      <c r="I67" s="106"/>
    </row>
    <row r="68" spans="1:10" ht="12.75" customHeight="1" x14ac:dyDescent="0.2">
      <c r="A68" s="302" t="s">
        <v>107</v>
      </c>
      <c r="B68" s="222" t="s">
        <v>0</v>
      </c>
      <c r="C68" s="223" t="s">
        <v>182</v>
      </c>
      <c r="D68" s="313" t="s">
        <v>36</v>
      </c>
      <c r="E68" s="99" t="s">
        <v>5</v>
      </c>
      <c r="F68" s="97" t="s">
        <v>2</v>
      </c>
      <c r="G68" s="97" t="s">
        <v>12</v>
      </c>
      <c r="H68" s="106"/>
      <c r="I68" s="106"/>
    </row>
    <row r="69" spans="1:10" ht="12.75" customHeight="1" x14ac:dyDescent="0.2">
      <c r="A69" s="35" t="str">
        <f>"2"</f>
        <v>2</v>
      </c>
      <c r="B69" s="130">
        <f>IF(J49,SUM(B11,B19,B27,B35,B43),"")</f>
        <v>30</v>
      </c>
      <c r="C69" s="130">
        <f>IF(J49,SUM(C11,C19,C27,C35,C43),"")</f>
        <v>174</v>
      </c>
      <c r="D69" s="171">
        <f>IF(J49,SUM(B69:C69),"")</f>
        <v>204</v>
      </c>
      <c r="E69" s="132">
        <f>IF(J49,B69*D70/D69/B70,"")</f>
        <v>1.4355742296918768</v>
      </c>
      <c r="F69" s="196"/>
      <c r="G69" s="126">
        <f>IF(J49,EXP(G71),"")</f>
        <v>0.85101389687903473</v>
      </c>
      <c r="H69" s="106"/>
      <c r="I69" s="106"/>
    </row>
    <row r="70" spans="1:10" ht="12.75" customHeight="1" x14ac:dyDescent="0.2">
      <c r="A70" s="29" t="str">
        <f>"1 (Ref)"</f>
        <v>1 (Ref)</v>
      </c>
      <c r="B70" s="130">
        <f>IF(J49,SUM(B12,B20,B28,B36,B44),"")</f>
        <v>21</v>
      </c>
      <c r="C70" s="130">
        <f>IF(J49,SUM(C12,C20,C28,C36,C44),"")</f>
        <v>184</v>
      </c>
      <c r="D70" s="165">
        <f>IF(J49,SUM(B70:C70),"")</f>
        <v>205</v>
      </c>
      <c r="E70" s="218"/>
      <c r="F70" s="197"/>
      <c r="G70" s="128">
        <f>IF(J49,EXP(G72),"")</f>
        <v>2.4216682906276477</v>
      </c>
      <c r="H70" s="106"/>
      <c r="I70" s="106"/>
    </row>
    <row r="71" spans="1:10" ht="12.75" customHeight="1" x14ac:dyDescent="0.2">
      <c r="A71" s="304" t="s">
        <v>36</v>
      </c>
      <c r="B71" s="407">
        <f>IF(J49,SUM(B69:B70),"")</f>
        <v>51</v>
      </c>
      <c r="C71" s="408">
        <f>IF(J49,SUM(C69:C70),"")</f>
        <v>358</v>
      </c>
      <c r="D71" s="415">
        <f>IF(J49,SUM(B71:C71),"")</f>
        <v>409</v>
      </c>
      <c r="E71" s="106">
        <f>IF(J49,LN(E69),"")</f>
        <v>0.36156492923292416</v>
      </c>
      <c r="F71" s="106">
        <f>IF(J49,SQRT(1/B69+1/B70-1/D69-1/D70),"")</f>
        <v>0.26678150495785763</v>
      </c>
      <c r="G71" s="106">
        <f>IF(J49,E71-1.96*F71,"")</f>
        <v>-0.16132682048447677</v>
      </c>
      <c r="H71" s="106"/>
      <c r="I71" s="106"/>
    </row>
    <row r="72" spans="1:10" ht="12.75" customHeight="1" x14ac:dyDescent="0.2">
      <c r="A72" s="34"/>
      <c r="B72" s="34"/>
      <c r="C72" s="34"/>
      <c r="D72" s="34"/>
      <c r="E72" s="106"/>
      <c r="F72" s="106"/>
      <c r="G72" s="106">
        <f>IF(J49,E71+1.96*F71,"")</f>
        <v>0.88445667895032509</v>
      </c>
      <c r="H72" s="106"/>
      <c r="I72" s="106"/>
    </row>
    <row r="73" spans="1:10" ht="12.75" customHeight="1" x14ac:dyDescent="0.2">
      <c r="A73" s="19"/>
      <c r="B73" s="19"/>
      <c r="C73" s="19"/>
      <c r="D73" s="318"/>
      <c r="E73" s="106"/>
      <c r="F73" s="106"/>
      <c r="G73" s="19"/>
      <c r="H73" s="19"/>
      <c r="I73" s="19"/>
    </row>
    <row r="74" spans="1:10" ht="12.75" customHeight="1" x14ac:dyDescent="0.2">
      <c r="A74" s="723" t="s">
        <v>110</v>
      </c>
      <c r="B74" s="724"/>
      <c r="C74" s="492">
        <v>1</v>
      </c>
      <c r="D74" s="318" t="s">
        <v>14</v>
      </c>
      <c r="E74" s="404">
        <f>IF(J74,(E71-LN(C74))/F71,"")</f>
        <v>1.3552848398918773</v>
      </c>
      <c r="F74" s="318" t="s">
        <v>203</v>
      </c>
      <c r="G74" s="404">
        <f>IF(J74,IF(2*(1-NORMSDIST(ABS(E74)))&gt;=0.001,2*(1-NORMSDIST(ABS(E74))),"&lt;0.001"),"")</f>
        <v>0.1753268231876226</v>
      </c>
      <c r="H74" s="19"/>
      <c r="I74" s="19"/>
      <c r="J74" s="417" t="b">
        <f>AND(J49,NOT(ISBLANK(C74)))</f>
        <v>1</v>
      </c>
    </row>
    <row r="75" spans="1:10" ht="12.75" customHeight="1" x14ac:dyDescent="0.2">
      <c r="H75" s="19"/>
      <c r="I75" s="19"/>
    </row>
    <row r="76" spans="1:10" ht="12.75" customHeight="1" x14ac:dyDescent="0.2">
      <c r="H76" s="19"/>
      <c r="I76" s="19"/>
    </row>
    <row r="77" spans="1:10" x14ac:dyDescent="0.2">
      <c r="H77" s="19"/>
      <c r="I77" s="19"/>
    </row>
    <row r="78" spans="1:10" x14ac:dyDescent="0.2">
      <c r="H78" s="19"/>
      <c r="I78" s="19"/>
    </row>
    <row r="79" spans="1:10" x14ac:dyDescent="0.2">
      <c r="H79" s="19"/>
      <c r="I79" s="19"/>
    </row>
    <row r="80" spans="1:10" x14ac:dyDescent="0.2">
      <c r="H80" s="19"/>
      <c r="I80" s="19"/>
    </row>
    <row r="81" spans="1:9" x14ac:dyDescent="0.2">
      <c r="A81" s="19"/>
      <c r="B81" s="19"/>
      <c r="C81" s="19"/>
      <c r="D81" s="19"/>
      <c r="E81" s="19"/>
      <c r="F81" s="19"/>
      <c r="G81" s="19"/>
      <c r="H81" s="19"/>
      <c r="I81" s="19"/>
    </row>
    <row r="82" spans="1:9" x14ac:dyDescent="0.2">
      <c r="A82" s="19"/>
      <c r="B82" s="19"/>
      <c r="C82" s="19"/>
      <c r="D82" s="19"/>
      <c r="E82" s="19"/>
      <c r="F82" s="19"/>
      <c r="G82" s="19"/>
      <c r="H82" s="19"/>
      <c r="I82" s="19"/>
    </row>
    <row r="83" spans="1:9" x14ac:dyDescent="0.2">
      <c r="A83" s="19"/>
      <c r="B83" s="19"/>
      <c r="C83" s="19"/>
      <c r="D83" s="19"/>
      <c r="E83" s="19"/>
      <c r="F83" s="19"/>
      <c r="G83" s="19"/>
      <c r="H83" s="19"/>
      <c r="I83" s="19"/>
    </row>
  </sheetData>
  <sheetProtection sheet="1" formatCells="0" formatColumns="0" formatRows="0"/>
  <mergeCells count="13">
    <mergeCell ref="A2:E2"/>
    <mergeCell ref="A4:G4"/>
    <mergeCell ref="A5:G5"/>
    <mergeCell ref="D59:E59"/>
    <mergeCell ref="B17:C17"/>
    <mergeCell ref="B9:C9"/>
    <mergeCell ref="A55:B55"/>
    <mergeCell ref="A74:B74"/>
    <mergeCell ref="B41:C41"/>
    <mergeCell ref="B33:C33"/>
    <mergeCell ref="B25:C25"/>
    <mergeCell ref="B67:C67"/>
    <mergeCell ref="A64:B6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6"/>
  <sheetViews>
    <sheetView zoomScaleNormal="100" workbookViewId="0">
      <selection activeCell="B11" sqref="B11"/>
    </sheetView>
  </sheetViews>
  <sheetFormatPr defaultRowHeight="12.75" x14ac:dyDescent="0.2"/>
  <cols>
    <col min="1" max="9" width="8.7109375" customWidth="1"/>
    <col min="10" max="10" width="6.28515625" hidden="1" customWidth="1"/>
    <col min="11" max="11" width="8.7109375" hidden="1" customWidth="1"/>
    <col min="12" max="12" width="4.42578125" hidden="1" customWidth="1"/>
  </cols>
  <sheetData>
    <row r="1" spans="1:13" ht="12.75" customHeight="1" x14ac:dyDescent="0.2">
      <c r="A1" s="7" t="s">
        <v>228</v>
      </c>
      <c r="I1" s="326"/>
      <c r="J1" s="19"/>
      <c r="K1" s="19"/>
      <c r="L1" s="19"/>
    </row>
    <row r="2" spans="1:13" ht="12.75" customHeight="1" x14ac:dyDescent="0.2">
      <c r="A2" s="725" t="s">
        <v>209</v>
      </c>
      <c r="B2" s="725"/>
      <c r="C2" s="725"/>
      <c r="D2" s="725"/>
      <c r="E2" s="725"/>
      <c r="H2" s="32"/>
      <c r="I2" s="326"/>
      <c r="J2" s="19"/>
      <c r="K2" s="19"/>
      <c r="L2" s="19"/>
    </row>
    <row r="3" spans="1:13" ht="12.75" customHeight="1" x14ac:dyDescent="0.2">
      <c r="H3" s="19"/>
      <c r="I3" s="19"/>
      <c r="J3" s="19"/>
      <c r="K3" s="19"/>
      <c r="L3" s="19"/>
    </row>
    <row r="4" spans="1:13" ht="12.75" customHeight="1" x14ac:dyDescent="0.2">
      <c r="A4" s="687" t="s">
        <v>146</v>
      </c>
      <c r="B4" s="688"/>
      <c r="C4" s="688"/>
      <c r="D4" s="688"/>
      <c r="E4" s="688"/>
      <c r="F4" s="688"/>
      <c r="G4" s="689"/>
      <c r="H4" s="19"/>
      <c r="I4" s="19"/>
      <c r="J4" s="19"/>
      <c r="K4" s="19"/>
      <c r="L4" s="19"/>
    </row>
    <row r="5" spans="1:13" ht="12.75" customHeight="1" x14ac:dyDescent="0.2">
      <c r="A5" s="412" t="s">
        <v>145</v>
      </c>
      <c r="B5" s="413"/>
      <c r="C5" s="413"/>
      <c r="D5" s="413"/>
      <c r="E5" s="413"/>
      <c r="F5" s="413"/>
      <c r="G5" s="414"/>
      <c r="H5" s="19"/>
      <c r="I5" s="19"/>
      <c r="J5" s="19"/>
      <c r="K5" s="19"/>
      <c r="L5" s="19"/>
    </row>
    <row r="6" spans="1:13" ht="12.75" customHeight="1" x14ac:dyDescent="0.2"/>
    <row r="7" spans="1:13" ht="12.75" customHeight="1" x14ac:dyDescent="0.2">
      <c r="A7" s="97" t="s">
        <v>92</v>
      </c>
      <c r="B7" s="120"/>
      <c r="C7" s="120"/>
      <c r="D7" s="32"/>
      <c r="E7" s="106"/>
      <c r="F7" s="106"/>
      <c r="G7" s="106" t="str">
        <f>IF(E5="","",E5+1.96*F5)</f>
        <v/>
      </c>
      <c r="H7" s="19"/>
      <c r="I7" s="19"/>
      <c r="J7" s="19"/>
      <c r="K7" s="19"/>
      <c r="L7" s="19"/>
    </row>
    <row r="8" spans="1:13" ht="12.75" customHeight="1" x14ac:dyDescent="0.2">
      <c r="A8" s="228">
        <v>1</v>
      </c>
      <c r="B8" s="420" t="s">
        <v>84</v>
      </c>
      <c r="C8" s="421"/>
      <c r="D8" s="421"/>
      <c r="E8" s="421"/>
      <c r="F8" s="421"/>
      <c r="G8" s="422"/>
      <c r="H8" s="19"/>
      <c r="I8" s="19"/>
      <c r="J8" s="19"/>
      <c r="K8" s="19"/>
      <c r="L8" s="19"/>
      <c r="M8" s="406"/>
    </row>
    <row r="9" spans="1:13" ht="12.75" customHeight="1" x14ac:dyDescent="0.2">
      <c r="A9" s="32"/>
      <c r="B9" s="675" t="s">
        <v>4</v>
      </c>
      <c r="C9" s="677"/>
      <c r="D9" s="19"/>
      <c r="E9" s="19"/>
      <c r="F9" s="19"/>
      <c r="G9" s="19"/>
      <c r="M9" s="406"/>
    </row>
    <row r="10" spans="1:13" ht="12.75" customHeight="1" x14ac:dyDescent="0.2">
      <c r="A10" s="442" t="s">
        <v>107</v>
      </c>
      <c r="B10" s="407" t="s">
        <v>0</v>
      </c>
      <c r="C10" s="408" t="s">
        <v>182</v>
      </c>
      <c r="D10" s="415" t="s">
        <v>36</v>
      </c>
      <c r="E10" s="99" t="s">
        <v>1</v>
      </c>
      <c r="F10" s="97" t="s">
        <v>2</v>
      </c>
      <c r="G10" s="100" t="s">
        <v>12</v>
      </c>
      <c r="H10" s="403" t="s">
        <v>201</v>
      </c>
      <c r="I10" s="403" t="s">
        <v>211</v>
      </c>
      <c r="J10" s="32" t="s">
        <v>175</v>
      </c>
      <c r="K10" s="417" t="s">
        <v>47</v>
      </c>
      <c r="L10" s="417" t="s">
        <v>44</v>
      </c>
      <c r="M10" s="406"/>
    </row>
    <row r="11" spans="1:13" ht="12.75" customHeight="1" x14ac:dyDescent="0.2">
      <c r="A11" s="35" t="str">
        <f>"2"</f>
        <v>2</v>
      </c>
      <c r="B11" s="88">
        <v>3</v>
      </c>
      <c r="C11" s="89">
        <v>104</v>
      </c>
      <c r="D11" s="35">
        <f>SUM(B11:C11)</f>
        <v>107</v>
      </c>
      <c r="E11" s="69">
        <f>IF(J11,B11*C12/C11/B12,"")</f>
        <v>3.3942307692307692</v>
      </c>
      <c r="F11" s="196"/>
      <c r="G11" s="92">
        <f>IF(J11,EXP(G13),"")</f>
        <v>0.90481832300532072</v>
      </c>
      <c r="H11" s="32"/>
      <c r="I11" s="32"/>
      <c r="J11" s="19" t="b">
        <f>AND(B11&gt;0,INT(B11)=B11,C11&gt;0,INT(C11)=C11,B12&gt;0,INT(B12)=B12,C12&gt;0,INT(C12)=C12)</f>
        <v>1</v>
      </c>
      <c r="K11" s="19"/>
      <c r="L11" s="19"/>
      <c r="M11" s="406"/>
    </row>
    <row r="12" spans="1:13" ht="12.75" customHeight="1" x14ac:dyDescent="0.2">
      <c r="A12" s="29" t="str">
        <f>"1 (Ref)"</f>
        <v>1 (Ref)</v>
      </c>
      <c r="B12" s="93">
        <v>9</v>
      </c>
      <c r="C12" s="94">
        <v>1059</v>
      </c>
      <c r="D12" s="35">
        <f>SUM(B12:C12)</f>
        <v>1068</v>
      </c>
      <c r="E12" s="218"/>
      <c r="F12" s="197"/>
      <c r="G12" s="104">
        <f>IF(J11,EXP(G14),"")</f>
        <v>12.732724594399212</v>
      </c>
      <c r="H12" s="32"/>
      <c r="I12" s="32"/>
      <c r="J12" s="19"/>
      <c r="K12" s="19"/>
      <c r="L12" s="19"/>
      <c r="M12" s="406"/>
    </row>
    <row r="13" spans="1:13" ht="12.75" customHeight="1" x14ac:dyDescent="0.2">
      <c r="A13" s="430" t="s">
        <v>36</v>
      </c>
      <c r="B13" s="407">
        <f>SUM(B11:B12)</f>
        <v>12</v>
      </c>
      <c r="C13" s="408">
        <f>SUM(C11:C12)</f>
        <v>1163</v>
      </c>
      <c r="D13" s="415">
        <f>SUM(B13:C13)</f>
        <v>1175</v>
      </c>
      <c r="E13" s="106">
        <f>IF(J11,LN(E11),"")</f>
        <v>1.2220771577919241</v>
      </c>
      <c r="F13" s="106">
        <f>IF(J11,SQRT(1/B11+1/B12+1/C11+1/C12),"")</f>
        <v>0.67453992922813422</v>
      </c>
      <c r="G13" s="106">
        <f>IF(J11,E13-1.96*F13,"")</f>
        <v>-0.10002110349521898</v>
      </c>
      <c r="H13" s="106">
        <f>IF(J11,1/(F13^2),"")</f>
        <v>2.1977823157306582</v>
      </c>
      <c r="I13" s="106">
        <f>IF(J11,E13*H13,"")</f>
        <v>2.6858595658534758</v>
      </c>
      <c r="J13" s="19"/>
      <c r="K13" s="227">
        <f>((E13-$C$52)/F13)^2</f>
        <v>3.1260609989017182E-2</v>
      </c>
      <c r="L13" s="58">
        <f>IF(D13&gt;0,1,0)</f>
        <v>1</v>
      </c>
      <c r="M13" s="406"/>
    </row>
    <row r="14" spans="1:13" ht="12.75" customHeight="1" x14ac:dyDescent="0.2">
      <c r="A14" s="417"/>
      <c r="B14" s="120"/>
      <c r="C14" s="120"/>
      <c r="D14" s="32"/>
      <c r="E14" s="106"/>
      <c r="F14" s="106"/>
      <c r="G14" s="106">
        <f>IF(J11,E13+1.96*F13,"")</f>
        <v>2.5441754190790671</v>
      </c>
      <c r="H14" s="106"/>
      <c r="I14" s="106"/>
      <c r="J14" s="19"/>
      <c r="K14" s="19"/>
      <c r="L14" s="19"/>
      <c r="M14" s="406"/>
    </row>
    <row r="15" spans="1:13" ht="12.75" customHeight="1" x14ac:dyDescent="0.2">
      <c r="A15" s="97" t="s">
        <v>92</v>
      </c>
      <c r="B15" s="19"/>
      <c r="C15" s="19"/>
      <c r="D15" s="19"/>
      <c r="E15" s="19"/>
      <c r="F15" s="19"/>
      <c r="G15" s="19"/>
      <c r="M15" s="406"/>
    </row>
    <row r="16" spans="1:13" ht="12.75" customHeight="1" x14ac:dyDescent="0.2">
      <c r="A16" s="228">
        <v>2</v>
      </c>
      <c r="B16" s="420" t="s">
        <v>210</v>
      </c>
      <c r="C16" s="421"/>
      <c r="D16" s="421"/>
      <c r="E16" s="421"/>
      <c r="F16" s="421"/>
      <c r="G16" s="422"/>
      <c r="H16" s="32"/>
      <c r="I16" s="32"/>
      <c r="J16" s="19"/>
      <c r="K16" s="19"/>
      <c r="L16" s="19"/>
      <c r="M16" s="406"/>
    </row>
    <row r="17" spans="1:13" ht="12.75" customHeight="1" x14ac:dyDescent="0.2">
      <c r="A17" s="32"/>
      <c r="B17" s="675" t="s">
        <v>4</v>
      </c>
      <c r="C17" s="677"/>
      <c r="D17" s="19"/>
      <c r="E17" s="19"/>
      <c r="F17" s="19"/>
      <c r="G17" s="19"/>
      <c r="M17" s="406"/>
    </row>
    <row r="18" spans="1:13" ht="12.75" customHeight="1" x14ac:dyDescent="0.2">
      <c r="A18" s="442" t="s">
        <v>107</v>
      </c>
      <c r="B18" s="407" t="s">
        <v>0</v>
      </c>
      <c r="C18" s="408" t="s">
        <v>182</v>
      </c>
      <c r="D18" s="415" t="s">
        <v>36</v>
      </c>
      <c r="E18" s="99" t="s">
        <v>1</v>
      </c>
      <c r="F18" s="97" t="s">
        <v>2</v>
      </c>
      <c r="G18" s="100" t="s">
        <v>12</v>
      </c>
      <c r="H18" s="403"/>
      <c r="I18" s="403"/>
      <c r="J18" s="19"/>
      <c r="K18" s="19"/>
      <c r="L18" s="19"/>
      <c r="M18" s="406"/>
    </row>
    <row r="19" spans="1:13" ht="12.75" customHeight="1" x14ac:dyDescent="0.2">
      <c r="A19" s="35" t="str">
        <f>"2"</f>
        <v>2</v>
      </c>
      <c r="B19" s="88">
        <v>1</v>
      </c>
      <c r="C19" s="89">
        <v>5</v>
      </c>
      <c r="D19" s="35">
        <f>SUM(B19:C19)</f>
        <v>6</v>
      </c>
      <c r="E19" s="69">
        <f>IF(J19,B19*C20/C19/B20,"")</f>
        <v>5.7333333333333334</v>
      </c>
      <c r="F19" s="196"/>
      <c r="G19" s="92">
        <f>IF(J19,EXP(G21),"")</f>
        <v>0.50161935052829609</v>
      </c>
      <c r="H19" s="32"/>
      <c r="I19" s="32"/>
      <c r="J19" s="19" t="b">
        <f>AND(B19&gt;0,INT(B19)=B19,C19&gt;0,INT(C19)=C19,B20&gt;0,INT(B20)=B20,C20&gt;0,INT(C20)=C20)</f>
        <v>1</v>
      </c>
      <c r="K19" s="19"/>
      <c r="L19" s="19"/>
      <c r="M19" s="406"/>
    </row>
    <row r="20" spans="1:13" ht="12.75" customHeight="1" x14ac:dyDescent="0.2">
      <c r="A20" s="29" t="str">
        <f>"1 (Ref)"</f>
        <v>1 (Ref)</v>
      </c>
      <c r="B20" s="93">
        <v>3</v>
      </c>
      <c r="C20" s="94">
        <v>86</v>
      </c>
      <c r="D20" s="35">
        <f>SUM(B20:C20)</f>
        <v>89</v>
      </c>
      <c r="E20" s="218"/>
      <c r="F20" s="197"/>
      <c r="G20" s="104">
        <f>IF(J19,EXP(G22),"")</f>
        <v>65.529990173807846</v>
      </c>
      <c r="H20" s="32"/>
      <c r="I20" s="32"/>
      <c r="J20" s="19"/>
      <c r="K20" s="19"/>
      <c r="L20" s="19"/>
      <c r="M20" s="406"/>
    </row>
    <row r="21" spans="1:13" ht="12.75" customHeight="1" x14ac:dyDescent="0.2">
      <c r="A21" s="430" t="s">
        <v>36</v>
      </c>
      <c r="B21" s="407">
        <f>SUM(B19:B20)</f>
        <v>4</v>
      </c>
      <c r="C21" s="408">
        <f>SUM(C19:C20)</f>
        <v>91</v>
      </c>
      <c r="D21" s="415">
        <f>SUM(B21:C21)</f>
        <v>95</v>
      </c>
      <c r="E21" s="106">
        <f>IF(J19,LN(E19),"")</f>
        <v>1.7462970951512977</v>
      </c>
      <c r="F21" s="106">
        <f>IF(J19,SQRT(1/B19+1/B20+1/C19+1/C20),"")</f>
        <v>1.2429646979339668</v>
      </c>
      <c r="G21" s="106">
        <f>IF(J19,E21-1.96*F21,"")</f>
        <v>-0.68991371279927716</v>
      </c>
      <c r="H21" s="106">
        <f>IF(J19,1/(F21^2),"")</f>
        <v>0.6472654290015053</v>
      </c>
      <c r="I21" s="106">
        <f>IF(J19,E21*H21,"")</f>
        <v>1.1303177384571872</v>
      </c>
      <c r="J21" s="19"/>
      <c r="K21" s="227">
        <f>((E21-$C$52)/F21)^2</f>
        <v>0.10614504148445023</v>
      </c>
      <c r="L21" s="58">
        <f>IF(D21&gt;0,1,0)</f>
        <v>1</v>
      </c>
      <c r="M21" s="406"/>
    </row>
    <row r="22" spans="1:13" ht="12.75" customHeight="1" x14ac:dyDescent="0.2">
      <c r="A22" s="417"/>
      <c r="B22" s="120"/>
      <c r="C22" s="120"/>
      <c r="D22" s="32"/>
      <c r="E22" s="106"/>
      <c r="F22" s="106"/>
      <c r="G22" s="106">
        <f>IF(J19,E21+1.96*F21,"")</f>
        <v>4.1825079031018726</v>
      </c>
      <c r="H22" s="106"/>
      <c r="I22" s="106"/>
      <c r="J22" s="19"/>
      <c r="K22" s="19"/>
      <c r="L22" s="19"/>
      <c r="M22" s="406"/>
    </row>
    <row r="23" spans="1:13" ht="12.75" customHeight="1" x14ac:dyDescent="0.2">
      <c r="A23" s="97" t="s">
        <v>92</v>
      </c>
      <c r="B23" s="19"/>
      <c r="C23" s="19"/>
      <c r="D23" s="19"/>
      <c r="E23" s="19"/>
      <c r="F23" s="19"/>
      <c r="G23" s="19"/>
      <c r="M23" s="406"/>
    </row>
    <row r="24" spans="1:13" ht="12.75" customHeight="1" x14ac:dyDescent="0.2">
      <c r="A24" s="228">
        <v>3</v>
      </c>
      <c r="B24" s="420"/>
      <c r="C24" s="421"/>
      <c r="D24" s="421"/>
      <c r="E24" s="421"/>
      <c r="F24" s="421"/>
      <c r="G24" s="422"/>
      <c r="H24" s="32"/>
      <c r="I24" s="32"/>
      <c r="J24" s="19"/>
      <c r="K24" s="19"/>
      <c r="L24" s="19"/>
      <c r="M24" s="406"/>
    </row>
    <row r="25" spans="1:13" ht="12.75" customHeight="1" x14ac:dyDescent="0.2">
      <c r="A25" s="32"/>
      <c r="B25" s="675" t="s">
        <v>4</v>
      </c>
      <c r="C25" s="677"/>
      <c r="D25" s="19"/>
      <c r="E25" s="19"/>
      <c r="F25" s="19"/>
      <c r="G25" s="19"/>
      <c r="M25" s="406"/>
    </row>
    <row r="26" spans="1:13" ht="12.75" customHeight="1" x14ac:dyDescent="0.2">
      <c r="A26" s="442" t="s">
        <v>107</v>
      </c>
      <c r="B26" s="407" t="s">
        <v>0</v>
      </c>
      <c r="C26" s="408" t="s">
        <v>182</v>
      </c>
      <c r="D26" s="415" t="s">
        <v>36</v>
      </c>
      <c r="E26" s="99" t="s">
        <v>1</v>
      </c>
      <c r="F26" s="97" t="s">
        <v>2</v>
      </c>
      <c r="G26" s="100" t="s">
        <v>12</v>
      </c>
      <c r="H26" s="403"/>
      <c r="I26" s="403"/>
      <c r="J26" s="19"/>
      <c r="K26" s="19"/>
      <c r="L26" s="19"/>
      <c r="M26" s="406"/>
    </row>
    <row r="27" spans="1:13" ht="12.75" customHeight="1" x14ac:dyDescent="0.2">
      <c r="A27" s="35" t="str">
        <f>"2"</f>
        <v>2</v>
      </c>
      <c r="B27" s="88"/>
      <c r="C27" s="89"/>
      <c r="D27" s="35">
        <f>SUM(B27:C27)</f>
        <v>0</v>
      </c>
      <c r="E27" s="69" t="str">
        <f>IF(J27,B27*C28/C27/B28,"")</f>
        <v/>
      </c>
      <c r="F27" s="196"/>
      <c r="G27" s="92" t="str">
        <f>IF(J27,EXP(G29),"")</f>
        <v/>
      </c>
      <c r="H27" s="32"/>
      <c r="I27" s="32"/>
      <c r="J27" s="19" t="b">
        <f>AND(B27&gt;0,INT(B27)=B27,C27&gt;0,INT(C27)=C27,B28&gt;0,INT(B28)=B28,C28&gt;0,INT(C28)=C28)</f>
        <v>0</v>
      </c>
      <c r="K27" s="19"/>
      <c r="L27" s="19"/>
      <c r="M27" s="406"/>
    </row>
    <row r="28" spans="1:13" ht="12.75" customHeight="1" x14ac:dyDescent="0.2">
      <c r="A28" s="29" t="str">
        <f>"1 (Ref)"</f>
        <v>1 (Ref)</v>
      </c>
      <c r="B28" s="93"/>
      <c r="C28" s="94"/>
      <c r="D28" s="35">
        <f>SUM(B28:C28)</f>
        <v>0</v>
      </c>
      <c r="E28" s="218"/>
      <c r="F28" s="197"/>
      <c r="G28" s="104" t="str">
        <f>IF(J27,EXP(G30),"")</f>
        <v/>
      </c>
      <c r="H28" s="32"/>
      <c r="I28" s="32"/>
      <c r="J28" s="19"/>
      <c r="K28" s="19"/>
      <c r="L28" s="19"/>
      <c r="M28" s="406"/>
    </row>
    <row r="29" spans="1:13" ht="12.75" customHeight="1" x14ac:dyDescent="0.2">
      <c r="A29" s="430" t="s">
        <v>36</v>
      </c>
      <c r="B29" s="407">
        <f>SUM(B27:B28)</f>
        <v>0</v>
      </c>
      <c r="C29" s="408">
        <f>SUM(C27:C28)</f>
        <v>0</v>
      </c>
      <c r="D29" s="415">
        <f>SUM(B29:C29)</f>
        <v>0</v>
      </c>
      <c r="E29" s="106" t="str">
        <f>IF(J27,LN(E27),"")</f>
        <v/>
      </c>
      <c r="F29" s="106" t="str">
        <f>IF(J27,SQRT(1/B27+1/B28+1/C27+1/C28),"")</f>
        <v/>
      </c>
      <c r="G29" s="106" t="str">
        <f>IF(J27,E29-1.96*F29,"")</f>
        <v/>
      </c>
      <c r="H29" s="106" t="str">
        <f>IF(J27,1/(F29^2),"")</f>
        <v/>
      </c>
      <c r="I29" s="106" t="str">
        <f>IF(J27,E29*H29,"")</f>
        <v/>
      </c>
      <c r="J29" s="19"/>
      <c r="K29" s="227" t="e">
        <f>((E29-$C$52)/F29)^2</f>
        <v>#VALUE!</v>
      </c>
      <c r="L29" s="58">
        <f>IF(D29&gt;0,1,0)</f>
        <v>0</v>
      </c>
      <c r="M29" s="406"/>
    </row>
    <row r="30" spans="1:13" ht="12.75" customHeight="1" x14ac:dyDescent="0.2">
      <c r="A30" s="417"/>
      <c r="B30" s="120"/>
      <c r="C30" s="120"/>
      <c r="D30" s="32"/>
      <c r="E30" s="106"/>
      <c r="F30" s="106"/>
      <c r="G30" s="106" t="str">
        <f>IF(J27,E29+1.96*F29,"")</f>
        <v/>
      </c>
      <c r="H30" s="106"/>
      <c r="I30" s="106"/>
      <c r="J30" s="19"/>
      <c r="K30" s="19"/>
      <c r="L30" s="19"/>
      <c r="M30" s="406"/>
    </row>
    <row r="31" spans="1:13" ht="12.75" customHeight="1" x14ac:dyDescent="0.2">
      <c r="A31" s="97" t="s">
        <v>92</v>
      </c>
      <c r="B31" s="19"/>
      <c r="C31" s="19"/>
      <c r="D31" s="19"/>
      <c r="E31" s="19"/>
      <c r="F31" s="19"/>
      <c r="G31" s="19"/>
      <c r="M31" s="406"/>
    </row>
    <row r="32" spans="1:13" ht="12.75" customHeight="1" x14ac:dyDescent="0.2">
      <c r="A32" s="228">
        <v>4</v>
      </c>
      <c r="B32" s="420"/>
      <c r="C32" s="421"/>
      <c r="D32" s="421"/>
      <c r="E32" s="421"/>
      <c r="F32" s="421"/>
      <c r="G32" s="422"/>
      <c r="H32" s="32"/>
      <c r="I32" s="32"/>
      <c r="J32" s="19"/>
      <c r="K32" s="19"/>
      <c r="L32" s="19"/>
      <c r="M32" s="406"/>
    </row>
    <row r="33" spans="1:13" ht="12.75" customHeight="1" x14ac:dyDescent="0.2">
      <c r="A33" s="32"/>
      <c r="B33" s="675" t="s">
        <v>4</v>
      </c>
      <c r="C33" s="677"/>
      <c r="D33" s="19"/>
      <c r="E33" s="19"/>
      <c r="F33" s="19"/>
      <c r="G33" s="19"/>
      <c r="M33" s="406"/>
    </row>
    <row r="34" spans="1:13" ht="12.75" customHeight="1" x14ac:dyDescent="0.2">
      <c r="A34" s="442" t="s">
        <v>107</v>
      </c>
      <c r="B34" s="407" t="s">
        <v>0</v>
      </c>
      <c r="C34" s="408" t="s">
        <v>182</v>
      </c>
      <c r="D34" s="415" t="s">
        <v>36</v>
      </c>
      <c r="E34" s="99" t="s">
        <v>1</v>
      </c>
      <c r="F34" s="97" t="s">
        <v>2</v>
      </c>
      <c r="G34" s="100" t="s">
        <v>12</v>
      </c>
      <c r="H34" s="403"/>
      <c r="I34" s="403"/>
      <c r="J34" s="19"/>
      <c r="K34" s="19"/>
      <c r="L34" s="19"/>
      <c r="M34" s="406"/>
    </row>
    <row r="35" spans="1:13" ht="12.75" customHeight="1" x14ac:dyDescent="0.2">
      <c r="A35" s="35" t="str">
        <f>"2"</f>
        <v>2</v>
      </c>
      <c r="B35" s="88"/>
      <c r="C35" s="89"/>
      <c r="D35" s="35">
        <f>SUM(B35:C35)</f>
        <v>0</v>
      </c>
      <c r="E35" s="69" t="str">
        <f>IF(J35,B35*C36/C35/B36,"")</f>
        <v/>
      </c>
      <c r="F35" s="196"/>
      <c r="G35" s="92" t="str">
        <f>IF(J35,EXP(G37),"")</f>
        <v/>
      </c>
      <c r="H35" s="32"/>
      <c r="I35" s="32"/>
      <c r="J35" s="19" t="b">
        <f>AND(B35&gt;0,INT(B35)=B35,C35&gt;0,INT(C35)=C35,B36&gt;0,INT(B36)=B36,C36&gt;0,INT(C36)=C36)</f>
        <v>0</v>
      </c>
      <c r="K35" s="19"/>
      <c r="L35" s="19"/>
      <c r="M35" s="406"/>
    </row>
    <row r="36" spans="1:13" ht="12.75" customHeight="1" x14ac:dyDescent="0.2">
      <c r="A36" s="29" t="str">
        <f>"1 (Ref)"</f>
        <v>1 (Ref)</v>
      </c>
      <c r="B36" s="93"/>
      <c r="C36" s="94"/>
      <c r="D36" s="35">
        <f>SUM(B36:C36)</f>
        <v>0</v>
      </c>
      <c r="E36" s="218"/>
      <c r="F36" s="197"/>
      <c r="G36" s="104" t="str">
        <f>IF(J35,EXP(G38),"")</f>
        <v/>
      </c>
      <c r="H36" s="32"/>
      <c r="I36" s="32"/>
      <c r="J36" s="19"/>
      <c r="K36" s="19"/>
      <c r="L36" s="19"/>
      <c r="M36" s="406"/>
    </row>
    <row r="37" spans="1:13" ht="12.75" customHeight="1" x14ac:dyDescent="0.2">
      <c r="A37" s="430" t="s">
        <v>36</v>
      </c>
      <c r="B37" s="407">
        <f>SUM(B35:B36)</f>
        <v>0</v>
      </c>
      <c r="C37" s="408">
        <f>SUM(C35:C36)</f>
        <v>0</v>
      </c>
      <c r="D37" s="415">
        <f>SUM(B37:C37)</f>
        <v>0</v>
      </c>
      <c r="E37" s="106" t="str">
        <f>IF(J35,LN(E35),"")</f>
        <v/>
      </c>
      <c r="F37" s="106" t="str">
        <f>IF(J35,SQRT(1/B35+1/B36+1/C35+1/C36),"")</f>
        <v/>
      </c>
      <c r="G37" s="106" t="str">
        <f>IF(J35,E37-1.96*F37,"")</f>
        <v/>
      </c>
      <c r="H37" s="106" t="str">
        <f>IF(J35,1/(F37^2),"")</f>
        <v/>
      </c>
      <c r="I37" s="106" t="str">
        <f>IF(J35,E37*H37,"")</f>
        <v/>
      </c>
      <c r="J37" s="19"/>
      <c r="K37" s="227" t="e">
        <f>((E37-$C$52)/F37)^2</f>
        <v>#VALUE!</v>
      </c>
      <c r="L37" s="58">
        <f>IF(D37&gt;0,1,0)</f>
        <v>0</v>
      </c>
      <c r="M37" s="406"/>
    </row>
    <row r="38" spans="1:13" ht="12.75" customHeight="1" x14ac:dyDescent="0.2">
      <c r="A38" s="417"/>
      <c r="B38" s="120"/>
      <c r="C38" s="120"/>
      <c r="D38" s="32"/>
      <c r="E38" s="106"/>
      <c r="F38" s="106"/>
      <c r="G38" s="106" t="str">
        <f>IF(J35,E37+1.96*F37,"")</f>
        <v/>
      </c>
      <c r="H38" s="106"/>
      <c r="I38" s="106"/>
      <c r="J38" s="19"/>
      <c r="K38" s="19"/>
      <c r="L38" s="19"/>
      <c r="M38" s="406"/>
    </row>
    <row r="39" spans="1:13" ht="12.75" customHeight="1" x14ac:dyDescent="0.2">
      <c r="A39" s="97" t="s">
        <v>92</v>
      </c>
      <c r="B39" s="19"/>
      <c r="C39" s="19"/>
      <c r="D39" s="19"/>
      <c r="E39" s="19"/>
      <c r="F39" s="19"/>
      <c r="G39" s="19"/>
      <c r="M39" s="406"/>
    </row>
    <row r="40" spans="1:13" ht="12.75" customHeight="1" x14ac:dyDescent="0.2">
      <c r="A40" s="228">
        <v>5</v>
      </c>
      <c r="B40" s="420"/>
      <c r="C40" s="421"/>
      <c r="D40" s="421"/>
      <c r="E40" s="421"/>
      <c r="F40" s="421"/>
      <c r="G40" s="422"/>
      <c r="H40" s="32"/>
      <c r="I40" s="32"/>
      <c r="J40" s="19"/>
      <c r="K40" s="19"/>
      <c r="L40" s="19"/>
      <c r="M40" s="406"/>
    </row>
    <row r="41" spans="1:13" ht="12.75" customHeight="1" x14ac:dyDescent="0.2">
      <c r="A41" s="32"/>
      <c r="B41" s="675" t="s">
        <v>4</v>
      </c>
      <c r="C41" s="677"/>
      <c r="D41" s="19"/>
      <c r="E41" s="19"/>
      <c r="F41" s="19"/>
      <c r="G41" s="19"/>
      <c r="M41" s="406"/>
    </row>
    <row r="42" spans="1:13" ht="12.75" customHeight="1" x14ac:dyDescent="0.2">
      <c r="A42" s="442" t="s">
        <v>107</v>
      </c>
      <c r="B42" s="407" t="s">
        <v>0</v>
      </c>
      <c r="C42" s="408" t="s">
        <v>182</v>
      </c>
      <c r="D42" s="415" t="s">
        <v>36</v>
      </c>
      <c r="E42" s="99" t="s">
        <v>1</v>
      </c>
      <c r="F42" s="97" t="s">
        <v>2</v>
      </c>
      <c r="G42" s="100" t="s">
        <v>12</v>
      </c>
      <c r="H42" s="403"/>
      <c r="I42" s="403"/>
      <c r="J42" s="19"/>
      <c r="K42" s="19"/>
      <c r="L42" s="19"/>
      <c r="M42" s="406"/>
    </row>
    <row r="43" spans="1:13" ht="12.75" customHeight="1" x14ac:dyDescent="0.2">
      <c r="A43" s="35" t="str">
        <f>"2"</f>
        <v>2</v>
      </c>
      <c r="B43" s="88"/>
      <c r="C43" s="89"/>
      <c r="D43" s="35">
        <f>SUM(B43:C43)</f>
        <v>0</v>
      </c>
      <c r="E43" s="69" t="str">
        <f>IF(J43,B43*C44/C43/B44,"")</f>
        <v/>
      </c>
      <c r="F43" s="196"/>
      <c r="G43" s="92" t="str">
        <f>IF(J43,EXP(G45),"")</f>
        <v/>
      </c>
      <c r="H43" s="32"/>
      <c r="I43" s="32"/>
      <c r="J43" s="19" t="b">
        <f>AND(B43&gt;0,INT(B43)=B43,C43&gt;0,INT(C43)=C43,B44&gt;0,INT(B44)=B44,C44&gt;0,INT(C44)=C44)</f>
        <v>0</v>
      </c>
      <c r="K43" s="19"/>
      <c r="L43" s="19"/>
      <c r="M43" s="406"/>
    </row>
    <row r="44" spans="1:13" ht="12.75" customHeight="1" x14ac:dyDescent="0.2">
      <c r="A44" s="29" t="str">
        <f>"1 (Ref)"</f>
        <v>1 (Ref)</v>
      </c>
      <c r="B44" s="93"/>
      <c r="C44" s="94"/>
      <c r="D44" s="35">
        <f>SUM(B44:C44)</f>
        <v>0</v>
      </c>
      <c r="E44" s="218"/>
      <c r="F44" s="197"/>
      <c r="G44" s="104" t="str">
        <f>IF(J43,EXP(G46),"")</f>
        <v/>
      </c>
      <c r="H44" s="32"/>
      <c r="I44" s="32"/>
      <c r="J44" s="19"/>
      <c r="K44" s="19"/>
      <c r="L44" s="19"/>
      <c r="M44" s="406"/>
    </row>
    <row r="45" spans="1:13" ht="12.75" customHeight="1" x14ac:dyDescent="0.2">
      <c r="A45" s="430" t="s">
        <v>36</v>
      </c>
      <c r="B45" s="407">
        <f>SUM(B43:B44)</f>
        <v>0</v>
      </c>
      <c r="C45" s="408">
        <f>SUM(C43:C44)</f>
        <v>0</v>
      </c>
      <c r="D45" s="415">
        <f>SUM(B45:C45)</f>
        <v>0</v>
      </c>
      <c r="E45" s="106" t="str">
        <f>IF(J43,LN(E43),"")</f>
        <v/>
      </c>
      <c r="F45" s="106" t="str">
        <f>IF(J43,SQRT(1/B43+1/B44+1/C43+1/C44),"")</f>
        <v/>
      </c>
      <c r="G45" s="106" t="str">
        <f>IF(J43,E45-1.96*F45,"")</f>
        <v/>
      </c>
      <c r="H45" s="106" t="str">
        <f>IF(J43,1/(F45^2),"")</f>
        <v/>
      </c>
      <c r="I45" s="106" t="str">
        <f>IF(J43,E45*H45,"")</f>
        <v/>
      </c>
      <c r="J45" s="19"/>
      <c r="K45" s="227" t="e">
        <f>((E45-$C$52)/F45)^2</f>
        <v>#VALUE!</v>
      </c>
      <c r="L45" s="58">
        <f>IF(D45&gt;0,1,0)</f>
        <v>0</v>
      </c>
    </row>
    <row r="46" spans="1:13" ht="12.75" customHeight="1" x14ac:dyDescent="0.2">
      <c r="A46" s="417"/>
      <c r="B46" s="120"/>
      <c r="C46" s="120"/>
      <c r="D46" s="32"/>
      <c r="E46" s="106"/>
      <c r="F46" s="106"/>
      <c r="G46" s="106" t="str">
        <f>IF(J43,E45+1.96*F45,"")</f>
        <v/>
      </c>
      <c r="H46" s="106"/>
      <c r="I46" s="106"/>
      <c r="J46" s="19"/>
      <c r="K46" s="19"/>
      <c r="L46" s="19"/>
    </row>
    <row r="47" spans="1:13" ht="12.75" customHeight="1" x14ac:dyDescent="0.2">
      <c r="A47" s="455"/>
      <c r="B47" s="456"/>
      <c r="C47" s="456"/>
      <c r="D47" s="456"/>
      <c r="E47" s="456"/>
      <c r="F47" s="456"/>
      <c r="G47" s="456"/>
      <c r="H47" s="32"/>
      <c r="I47" s="32"/>
      <c r="J47" s="19"/>
      <c r="K47" s="19"/>
      <c r="L47" s="19"/>
      <c r="M47" s="19"/>
    </row>
    <row r="48" spans="1:13" ht="12.75" customHeight="1" x14ac:dyDescent="0.2">
      <c r="C48" s="553" t="s">
        <v>16</v>
      </c>
      <c r="D48" s="417"/>
      <c r="E48" s="417"/>
      <c r="F48" s="417"/>
      <c r="G48" s="417"/>
      <c r="H48" s="417"/>
      <c r="I48" s="417"/>
      <c r="J48" s="19"/>
      <c r="K48" s="19"/>
      <c r="L48" s="19"/>
      <c r="M48" s="19"/>
    </row>
    <row r="49" spans="1:13" ht="12.75" customHeight="1" x14ac:dyDescent="0.2">
      <c r="C49" s="140" t="s">
        <v>1</v>
      </c>
      <c r="D49" s="100" t="s">
        <v>2</v>
      </c>
      <c r="E49" s="140" t="s">
        <v>12</v>
      </c>
      <c r="H49" s="32"/>
      <c r="I49" s="32"/>
      <c r="J49" s="19" t="b">
        <f>IF(COUNTIF(J11:J43,TRUE)&gt;0,TRUE,FALSE)</f>
        <v>1</v>
      </c>
      <c r="K49" s="19"/>
      <c r="L49" s="19"/>
      <c r="M49" s="19"/>
    </row>
    <row r="50" spans="1:13" ht="12.75" customHeight="1" x14ac:dyDescent="0.2">
      <c r="C50" s="125">
        <f>IF(J49,EXP(C52),"")</f>
        <v>3.8241657475295305</v>
      </c>
      <c r="D50" s="194"/>
      <c r="E50" s="125">
        <f>IF(J49,EXP(E52),"")</f>
        <v>1.1964113348816052</v>
      </c>
      <c r="F50" s="154"/>
      <c r="H50" s="32"/>
      <c r="I50" s="32"/>
      <c r="J50" s="19"/>
      <c r="K50" s="19"/>
      <c r="L50" s="19"/>
      <c r="M50" s="19"/>
    </row>
    <row r="51" spans="1:13" ht="12.75" customHeight="1" x14ac:dyDescent="0.2">
      <c r="C51" s="197"/>
      <c r="D51" s="195"/>
      <c r="E51" s="498">
        <f>IF(J49,EXP(E53),"")</f>
        <v>12.223424534861399</v>
      </c>
      <c r="F51" s="46"/>
      <c r="H51" s="106"/>
      <c r="I51" s="106"/>
      <c r="J51" s="19"/>
      <c r="K51" s="227"/>
      <c r="L51" s="58"/>
      <c r="M51" s="19"/>
    </row>
    <row r="52" spans="1:13" ht="12.75" customHeight="1" x14ac:dyDescent="0.2">
      <c r="C52" s="106">
        <f>IF(J49,I52/H52,"")</f>
        <v>1.3413403382690587</v>
      </c>
      <c r="D52" s="106">
        <f>IF(J49,SQRT(1/H52),"")</f>
        <v>0.5928641920322143</v>
      </c>
      <c r="E52" s="106">
        <f>IF(J49,C52-1.96*D52,"")</f>
        <v>0.1793265218859188</v>
      </c>
      <c r="H52" s="106">
        <f>IF(J49,SUMIF(H13:H45,"&gt;0"),"")</f>
        <v>2.8450477447321636</v>
      </c>
      <c r="I52" s="106">
        <f>IF(J49,SUMIF(I13:I45,"&lt;&gt;0"),"")</f>
        <v>3.816177304310663</v>
      </c>
    </row>
    <row r="53" spans="1:13" ht="12.75" customHeight="1" x14ac:dyDescent="0.2">
      <c r="C53" s="106"/>
      <c r="D53" s="106"/>
      <c r="E53" s="106">
        <f>IF(J49,C52+1.96*D52,"")</f>
        <v>2.5033541546521985</v>
      </c>
      <c r="F53" s="106"/>
      <c r="G53" s="106"/>
    </row>
    <row r="54" spans="1:13" ht="12.75" customHeight="1" x14ac:dyDescent="0.2"/>
    <row r="55" spans="1:13" ht="12.75" customHeight="1" x14ac:dyDescent="0.2">
      <c r="A55" s="723" t="s">
        <v>113</v>
      </c>
      <c r="B55" s="724"/>
      <c r="C55" s="492">
        <v>1</v>
      </c>
      <c r="D55" s="427" t="s">
        <v>14</v>
      </c>
      <c r="E55" s="404">
        <f>IF(J55,(C52-LN(C55))/D52,"")</f>
        <v>2.262474874171815</v>
      </c>
      <c r="F55" s="427" t="s">
        <v>203</v>
      </c>
      <c r="G55" s="404">
        <f>IF(J55,IF(2*(1-NORMSDIST(ABS(E55)))&gt;=0.001,2*(1-NORMSDIST(ABS(E55))),"&lt;0.001"),"")</f>
        <v>2.3668079498076144E-2</v>
      </c>
      <c r="J55" t="b">
        <f>AND(J49,NOT(ISBLANK(C55)))</f>
        <v>1</v>
      </c>
    </row>
    <row r="56" spans="1:13" ht="12.75" customHeight="1" x14ac:dyDescent="0.2">
      <c r="A56" s="19"/>
      <c r="B56" s="19"/>
      <c r="C56" s="19"/>
      <c r="D56" s="32"/>
      <c r="E56" s="106"/>
      <c r="F56" s="106"/>
      <c r="G56" s="106"/>
      <c r="H56" s="726"/>
      <c r="I56" s="726"/>
      <c r="J56" s="19"/>
      <c r="K56" s="19"/>
      <c r="L56" s="19"/>
      <c r="M56" s="19"/>
    </row>
    <row r="57" spans="1:13" ht="12.75" customHeight="1" x14ac:dyDescent="0.2">
      <c r="A57" s="19"/>
      <c r="B57" s="19"/>
      <c r="C57" s="19"/>
      <c r="D57" s="32"/>
      <c r="E57" s="106"/>
      <c r="F57" s="106"/>
      <c r="G57" s="106"/>
      <c r="J57" s="19"/>
      <c r="K57" s="19"/>
      <c r="L57" s="19"/>
      <c r="M57" s="19"/>
    </row>
    <row r="58" spans="1:13" ht="12.75" customHeight="1" x14ac:dyDescent="0.2">
      <c r="A58" s="554" t="s">
        <v>212</v>
      </c>
      <c r="B58" s="426"/>
      <c r="C58" s="426"/>
      <c r="D58" s="426"/>
      <c r="E58" s="106"/>
      <c r="F58" s="106"/>
      <c r="G58" s="106"/>
      <c r="J58" s="19"/>
      <c r="K58" s="19"/>
      <c r="L58" s="19"/>
      <c r="M58" s="19"/>
    </row>
    <row r="59" spans="1:13" ht="12.75" customHeight="1" x14ac:dyDescent="0.2">
      <c r="A59" s="37" t="s">
        <v>92</v>
      </c>
      <c r="B59" s="407" t="s">
        <v>158</v>
      </c>
      <c r="C59" s="415" t="s">
        <v>1</v>
      </c>
      <c r="D59" s="675" t="s">
        <v>12</v>
      </c>
      <c r="E59" s="677"/>
      <c r="F59" s="230" t="s">
        <v>104</v>
      </c>
      <c r="J59" s="19"/>
      <c r="K59" s="19"/>
      <c r="L59" s="19"/>
      <c r="M59" s="19"/>
    </row>
    <row r="60" spans="1:13" ht="12.75" customHeight="1" x14ac:dyDescent="0.2">
      <c r="A60" s="170">
        <v>1</v>
      </c>
      <c r="B60" s="423" t="str">
        <f>IF(J60,IF(ISBLANK(CHOOSE(A60,B8,B16,B24,B32,B40)),"",CHOOSE(A60,B8,B16,B24,B32,B40)),"")</f>
        <v>Age &lt; 35</v>
      </c>
      <c r="C60" s="423">
        <f>IF(J60,CHOOSE(A60,E11,E19,E27,E35,E43),"")</f>
        <v>3.3942307692307692</v>
      </c>
      <c r="D60" s="111">
        <f>IF(J60,CHOOSE(A60,G11,G19,G27,G35,G43),"")</f>
        <v>0.90481832300532072</v>
      </c>
      <c r="E60" s="112">
        <f>IF(J60,CHOOSE(A60,G12,G20,G28,G36,G44),"")</f>
        <v>12.732724594399212</v>
      </c>
      <c r="F60" s="231">
        <f>IF(J60,CHOOSE(A60,F13,F21,F29,F37,F45),"")</f>
        <v>0.67453992922813422</v>
      </c>
      <c r="J60" t="b">
        <f>IF(NOT(ISBLANK(A60)),CHOOSE(A60,J11,J19,J27,J35,J43),FALSE)</f>
        <v>1</v>
      </c>
      <c r="K60" s="106"/>
      <c r="L60" s="58"/>
    </row>
    <row r="61" spans="1:13" ht="12.75" customHeight="1" x14ac:dyDescent="0.2">
      <c r="A61" s="164">
        <v>2</v>
      </c>
      <c r="B61" s="424" t="str">
        <f>IF(J61,IF(ISBLANK(CHOOSE(A61,B8,B16,B24,B32,B40)),"",CHOOSE(A61,B8,B16,B24,B32,B40)),"")</f>
        <v>Age &gt; 35</v>
      </c>
      <c r="C61" s="424">
        <f>IF(J61,CHOOSE(A61,E11,E19,E27,E35,E43),"")</f>
        <v>5.7333333333333334</v>
      </c>
      <c r="D61" s="113">
        <f>IF(J61,CHOOSE(A61,G11,G19,G27,G35,G43),"")</f>
        <v>0.50161935052829609</v>
      </c>
      <c r="E61" s="114">
        <f>IF(J61,CHOOSE(A61,G12,G20,G28,G36,G44),"")</f>
        <v>65.529990173807846</v>
      </c>
      <c r="F61" s="232">
        <f>IF(J61,CHOOSE(A61,F13,F21,F29,F37,F45),"")</f>
        <v>1.2429646979339668</v>
      </c>
      <c r="J61" s="19" t="b">
        <f>IF(NOT(ISBLANK(A61)),CHOOSE(A61,J11,J19,J27,J35,J43),FALSE)</f>
        <v>1</v>
      </c>
      <c r="K61" s="106"/>
      <c r="L61" s="58"/>
    </row>
    <row r="62" spans="1:13" ht="12.75" customHeight="1" x14ac:dyDescent="0.2">
      <c r="A62" s="29" t="s">
        <v>114</v>
      </c>
      <c r="B62" s="103"/>
      <c r="C62" s="95">
        <f>IF(J62,C60/C61,"")</f>
        <v>0.59201699463327373</v>
      </c>
      <c r="D62" s="496">
        <f>IF(J62,EXP(LN(C62)-1.96*F62),"")</f>
        <v>3.7028976923999618E-2</v>
      </c>
      <c r="E62" s="497">
        <f>IF(J62,EXP(LN(C62)+1.96*F62),"")</f>
        <v>9.4651311229572226</v>
      </c>
      <c r="F62" s="229">
        <f>IF(J62,SQRT(F60^2+F61^2),"")</f>
        <v>1.41420131396954</v>
      </c>
      <c r="H62" s="106"/>
      <c r="I62" s="106"/>
      <c r="J62" s="19" t="b">
        <f>AND(J60,J61)</f>
        <v>1</v>
      </c>
      <c r="K62" s="106"/>
      <c r="L62" s="58"/>
    </row>
    <row r="63" spans="1:13" ht="12.75" customHeight="1" x14ac:dyDescent="0.2">
      <c r="A63" s="34"/>
      <c r="B63" s="108"/>
      <c r="C63" s="108"/>
      <c r="D63" s="108"/>
      <c r="E63" s="85"/>
      <c r="F63" s="106"/>
      <c r="G63" s="106"/>
      <c r="H63" s="106"/>
      <c r="I63" s="106"/>
      <c r="J63" s="19"/>
      <c r="K63" s="106"/>
      <c r="L63" s="58"/>
    </row>
    <row r="64" spans="1:13" ht="12.75" customHeight="1" x14ac:dyDescent="0.2">
      <c r="A64" s="723" t="s">
        <v>115</v>
      </c>
      <c r="B64" s="724"/>
      <c r="C64" s="492">
        <v>1</v>
      </c>
      <c r="D64" s="427" t="s">
        <v>14</v>
      </c>
      <c r="E64" s="404">
        <f>IF(J64,(LN(C62)-LN(C64))/F62,"")</f>
        <v>-0.37068268299647794</v>
      </c>
      <c r="F64" s="427" t="s">
        <v>203</v>
      </c>
      <c r="G64" s="404">
        <f>IF(J64,IF(2*(1-NORMSDIST(ABS(E64)))&gt;=0.001,2*(1-NORMSDIST(ABS(E64))),"&lt;0.001"),"")</f>
        <v>0.71087388986954148</v>
      </c>
      <c r="H64" s="106"/>
      <c r="I64" s="106"/>
      <c r="J64" s="19" t="b">
        <f>AND(J62,NOT(ISBLANK(C64)))</f>
        <v>1</v>
      </c>
      <c r="K64" s="106"/>
      <c r="L64" s="58"/>
    </row>
    <row r="65" spans="1:12" ht="12.75" customHeight="1" x14ac:dyDescent="0.2">
      <c r="A65" s="34"/>
      <c r="B65" s="108"/>
      <c r="C65" s="108"/>
      <c r="D65" s="108"/>
      <c r="E65" s="85"/>
      <c r="F65" s="106"/>
      <c r="G65" s="106"/>
      <c r="H65" s="106"/>
      <c r="I65" s="106"/>
      <c r="J65" s="19"/>
      <c r="K65" s="19"/>
      <c r="L65" s="19"/>
    </row>
    <row r="66" spans="1:12" ht="12.75" customHeight="1" x14ac:dyDescent="0.2">
      <c r="A66" s="135" t="s">
        <v>112</v>
      </c>
      <c r="B66" s="19"/>
      <c r="C66" s="19"/>
      <c r="D66" s="32"/>
      <c r="E66" s="457"/>
      <c r="F66" s="457"/>
      <c r="G66" s="457"/>
      <c r="H66" s="106"/>
      <c r="I66" s="106"/>
      <c r="J66" s="19"/>
      <c r="K66" s="19"/>
      <c r="L66" s="19"/>
    </row>
    <row r="67" spans="1:12" ht="12.75" customHeight="1" x14ac:dyDescent="0.2">
      <c r="B67" s="675" t="s">
        <v>4</v>
      </c>
      <c r="C67" s="677"/>
      <c r="H67" s="106"/>
      <c r="I67" s="106"/>
      <c r="J67" s="19"/>
      <c r="K67" s="19"/>
      <c r="L67" s="19"/>
    </row>
    <row r="68" spans="1:12" ht="12.75" customHeight="1" x14ac:dyDescent="0.2">
      <c r="A68" s="415" t="s">
        <v>107</v>
      </c>
      <c r="B68" s="407" t="s">
        <v>0</v>
      </c>
      <c r="C68" s="408" t="s">
        <v>182</v>
      </c>
      <c r="D68" s="415" t="s">
        <v>36</v>
      </c>
      <c r="E68" s="99" t="s">
        <v>1</v>
      </c>
      <c r="F68" s="97" t="s">
        <v>2</v>
      </c>
      <c r="G68" s="97" t="s">
        <v>12</v>
      </c>
      <c r="H68" s="106"/>
      <c r="I68" s="106"/>
      <c r="J68" s="19"/>
      <c r="K68" s="19"/>
      <c r="L68" s="19"/>
    </row>
    <row r="69" spans="1:12" ht="12.75" customHeight="1" x14ac:dyDescent="0.2">
      <c r="A69" s="35" t="str">
        <f>"2"</f>
        <v>2</v>
      </c>
      <c r="B69" s="130">
        <f>IF(J49,SUM(B11,B19,B27,B35,B43),"")</f>
        <v>4</v>
      </c>
      <c r="C69" s="130">
        <f>IF(J49,SUM(C11,C19,C27,C35,C43),"")</f>
        <v>109</v>
      </c>
      <c r="D69" s="171">
        <f>IF(J49,SUM(B69:C69),"")</f>
        <v>113</v>
      </c>
      <c r="E69" s="132">
        <f>IF(J49,B69*C70/C69/B70,"")</f>
        <v>3.501529051987768</v>
      </c>
      <c r="F69" s="196"/>
      <c r="G69" s="126">
        <f>IF(J49,EXP(G71),"")</f>
        <v>1.1103383823185715</v>
      </c>
      <c r="H69" s="106"/>
      <c r="I69" s="106"/>
      <c r="J69" s="19"/>
      <c r="K69" s="19"/>
      <c r="L69" s="19"/>
    </row>
    <row r="70" spans="1:12" ht="12.75" customHeight="1" x14ac:dyDescent="0.2">
      <c r="A70" s="29" t="str">
        <f>"1 (Ref)"</f>
        <v>1 (Ref)</v>
      </c>
      <c r="B70" s="130">
        <f>IF(J49,SUM(B12,B20,B28,B36,B44),"")</f>
        <v>12</v>
      </c>
      <c r="C70" s="130">
        <f>IF(J49,SUM(C12,C20,C28,C36,C44),"")</f>
        <v>1145</v>
      </c>
      <c r="D70" s="165">
        <f>IF(J49,SUM(B70:C70),"")</f>
        <v>1157</v>
      </c>
      <c r="E70" s="218"/>
      <c r="F70" s="197"/>
      <c r="G70" s="128">
        <f>IF(J49,EXP(G72),"")</f>
        <v>11.042314574690248</v>
      </c>
      <c r="H70" s="106"/>
      <c r="I70" s="106"/>
      <c r="J70" s="19"/>
      <c r="K70" s="19"/>
      <c r="L70" s="19"/>
    </row>
    <row r="71" spans="1:12" ht="12.75" customHeight="1" x14ac:dyDescent="0.2">
      <c r="A71" s="407" t="s">
        <v>36</v>
      </c>
      <c r="B71" s="407">
        <f>IF(J49,SUM(B69:B70),"")</f>
        <v>16</v>
      </c>
      <c r="C71" s="408">
        <f>IF(J49,SUM(C69:C70),"")</f>
        <v>1254</v>
      </c>
      <c r="D71" s="415">
        <f>IF(J49,SUM(B71:C71),"")</f>
        <v>1270</v>
      </c>
      <c r="E71" s="106">
        <f>IF(J49,LN(E69),"")</f>
        <v>1.2531997450910868</v>
      </c>
      <c r="F71" s="106">
        <f>IF(J49,SQRT(1/B69+1/B70+1/C69+1/C70),"")</f>
        <v>0.58598720780009672</v>
      </c>
      <c r="G71" s="106">
        <f>IF(J49,E71-1.96*F71,"")</f>
        <v>0.10466481780289727</v>
      </c>
      <c r="H71" s="106"/>
      <c r="I71" s="106"/>
      <c r="J71" s="19"/>
      <c r="K71" s="19"/>
      <c r="L71" s="19"/>
    </row>
    <row r="72" spans="1:12" ht="12.75" customHeight="1" x14ac:dyDescent="0.2">
      <c r="A72" s="119"/>
      <c r="B72" s="120"/>
      <c r="C72" s="120"/>
      <c r="D72" s="32"/>
      <c r="E72" s="106"/>
      <c r="F72" s="106"/>
      <c r="G72" s="106">
        <f>IF(J49,E71+1.96*F71,"")</f>
        <v>2.4017346723792761</v>
      </c>
      <c r="H72" s="106"/>
      <c r="I72" s="106"/>
      <c r="J72" s="19"/>
      <c r="K72" s="19"/>
      <c r="L72" s="19"/>
    </row>
    <row r="73" spans="1:12" ht="12.75" customHeight="1" x14ac:dyDescent="0.2">
      <c r="A73" s="3"/>
      <c r="B73" s="4"/>
      <c r="C73" s="4"/>
      <c r="D73" s="1"/>
      <c r="E73" s="406"/>
      <c r="F73" s="406"/>
      <c r="G73" s="406"/>
      <c r="H73" s="32"/>
      <c r="I73" s="32"/>
      <c r="J73" s="19"/>
      <c r="K73" s="19"/>
      <c r="L73" s="19"/>
    </row>
    <row r="74" spans="1:12" ht="12.75" customHeight="1" x14ac:dyDescent="0.2">
      <c r="A74" s="723" t="s">
        <v>113</v>
      </c>
      <c r="B74" s="724"/>
      <c r="C74" s="492">
        <v>1</v>
      </c>
      <c r="D74" s="427" t="s">
        <v>14</v>
      </c>
      <c r="E74" s="404">
        <f>IF(J74,(E71-LN(C74))/F71,"")</f>
        <v>2.1386128031631069</v>
      </c>
      <c r="F74" s="427" t="s">
        <v>203</v>
      </c>
      <c r="G74" s="404">
        <f>IF(J74,IF(2*(1-NORMSDIST(ABS(E74)))&gt;=0.001,2*(1-NORMSDIST(ABS(E74))),"&lt;0.001"),"")</f>
        <v>3.2467039734745073E-2</v>
      </c>
      <c r="H74" s="419"/>
      <c r="I74" s="419"/>
      <c r="J74" s="417" t="b">
        <f>AND(J49,NOT(ISBLANK(C74)))</f>
        <v>1</v>
      </c>
      <c r="K74" s="19"/>
      <c r="L74" s="19"/>
    </row>
    <row r="75" spans="1:12" ht="12.75" customHeight="1" x14ac:dyDescent="0.2">
      <c r="A75" s="406"/>
      <c r="B75" s="406"/>
      <c r="C75" s="406"/>
      <c r="D75" s="406"/>
      <c r="E75" s="406"/>
      <c r="F75" s="406"/>
      <c r="G75" s="406"/>
      <c r="H75" s="406"/>
      <c r="I75" s="406"/>
      <c r="J75" s="19"/>
      <c r="K75" s="19"/>
      <c r="L75" s="19"/>
    </row>
    <row r="76" spans="1:12" ht="12.75" customHeight="1" x14ac:dyDescent="0.2">
      <c r="A76" s="406"/>
      <c r="B76" s="406"/>
      <c r="C76" s="406"/>
      <c r="D76" s="406"/>
      <c r="E76" s="406"/>
      <c r="F76" s="406"/>
      <c r="G76" s="406"/>
      <c r="H76" s="418"/>
      <c r="I76" s="406"/>
      <c r="J76" s="19"/>
      <c r="K76" s="19"/>
      <c r="L76" s="19"/>
    </row>
    <row r="77" spans="1:12" ht="12.75" customHeight="1" x14ac:dyDescent="0.2">
      <c r="A77" s="555" t="s">
        <v>103</v>
      </c>
      <c r="B77" s="425"/>
      <c r="C77" s="425"/>
      <c r="D77" s="406"/>
      <c r="E77" s="406"/>
      <c r="F77" s="406"/>
      <c r="G77" s="406"/>
      <c r="H77" s="428"/>
      <c r="I77" s="406"/>
      <c r="J77" s="19"/>
      <c r="K77" s="19"/>
      <c r="L77" s="19"/>
    </row>
    <row r="78" spans="1:12" ht="12.75" customHeight="1" x14ac:dyDescent="0.2">
      <c r="A78" s="407" t="s">
        <v>190</v>
      </c>
      <c r="B78" s="458" t="s">
        <v>35</v>
      </c>
      <c r="C78" s="416" t="s">
        <v>33</v>
      </c>
      <c r="D78" s="406"/>
      <c r="E78" s="406"/>
      <c r="F78" s="406"/>
      <c r="G78" s="406"/>
      <c r="H78" s="32"/>
      <c r="I78" s="32"/>
      <c r="J78" s="19"/>
      <c r="K78" s="19"/>
      <c r="L78" s="19"/>
    </row>
    <row r="79" spans="1:12" ht="12.75" customHeight="1" x14ac:dyDescent="0.2">
      <c r="A79" s="255">
        <f>K79</f>
        <v>0.13740565147346739</v>
      </c>
      <c r="B79" s="188">
        <f>L79-1</f>
        <v>1</v>
      </c>
      <c r="C79" s="344">
        <f>IF(CHIDIST(A79,B79)&gt;=0.001,CHIDIST(A79,B79),"&lt;0.001")</f>
        <v>0.71087388986954125</v>
      </c>
      <c r="D79" s="406"/>
      <c r="E79" s="406"/>
      <c r="F79" s="406"/>
      <c r="G79" s="406"/>
      <c r="H79" s="32"/>
      <c r="I79" s="32"/>
      <c r="J79" s="19"/>
      <c r="K79" s="106">
        <f>SUMIF(K13:K45,"&gt;0")</f>
        <v>0.13740565147346739</v>
      </c>
      <c r="L79" s="58">
        <f>SUMIF(L13:L45,"&gt;0")</f>
        <v>2</v>
      </c>
    </row>
    <row r="80" spans="1:12" ht="12.75" customHeight="1" x14ac:dyDescent="0.2">
      <c r="H80" s="1"/>
      <c r="I80" s="1"/>
      <c r="J80" s="406"/>
      <c r="K80" s="406"/>
      <c r="L80" s="406"/>
    </row>
    <row r="81" spans="8:12" x14ac:dyDescent="0.2">
      <c r="H81" s="406"/>
      <c r="I81" s="406"/>
      <c r="J81" s="406"/>
      <c r="K81" s="406"/>
      <c r="L81" s="406"/>
    </row>
    <row r="82" spans="8:12" x14ac:dyDescent="0.2">
      <c r="H82" s="406"/>
      <c r="I82" s="406"/>
      <c r="J82" s="406"/>
      <c r="K82" s="406"/>
      <c r="L82" s="406"/>
    </row>
    <row r="83" spans="8:12" x14ac:dyDescent="0.2">
      <c r="H83" s="406"/>
      <c r="I83" s="406"/>
      <c r="J83" s="406"/>
      <c r="K83" s="406"/>
      <c r="L83" s="406"/>
    </row>
    <row r="84" spans="8:12" x14ac:dyDescent="0.2">
      <c r="H84" s="406"/>
      <c r="I84" s="406"/>
      <c r="J84" s="406"/>
      <c r="K84" s="406"/>
      <c r="L84" s="406"/>
    </row>
    <row r="85" spans="8:12" x14ac:dyDescent="0.2">
      <c r="H85" s="406"/>
      <c r="I85" s="406"/>
      <c r="J85" s="406"/>
      <c r="K85" s="406"/>
      <c r="L85" s="406"/>
    </row>
    <row r="86" spans="8:12" x14ac:dyDescent="0.2">
      <c r="H86" s="406"/>
      <c r="I86" s="406"/>
      <c r="J86" s="406"/>
      <c r="K86" s="406"/>
      <c r="L86" s="406"/>
    </row>
  </sheetData>
  <sheetProtection sheet="1" formatCells="0" formatColumns="0" formatRows="0"/>
  <mergeCells count="13">
    <mergeCell ref="H56:I56"/>
    <mergeCell ref="A4:G4"/>
    <mergeCell ref="B41:C41"/>
    <mergeCell ref="A55:B55"/>
    <mergeCell ref="A64:B64"/>
    <mergeCell ref="A74:B74"/>
    <mergeCell ref="D59:E59"/>
    <mergeCell ref="A2:E2"/>
    <mergeCell ref="B9:C9"/>
    <mergeCell ref="B17:C17"/>
    <mergeCell ref="B25:C25"/>
    <mergeCell ref="B33:C33"/>
    <mergeCell ref="B67:C6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89"/>
  <sheetViews>
    <sheetView workbookViewId="0"/>
  </sheetViews>
  <sheetFormatPr defaultRowHeight="12.75" x14ac:dyDescent="0.2"/>
  <cols>
    <col min="1" max="1" width="8.7109375" customWidth="1"/>
    <col min="2" max="2" width="10.42578125" customWidth="1"/>
    <col min="3" max="3" width="11.7109375" customWidth="1"/>
    <col min="4" max="4" width="11" customWidth="1"/>
    <col min="5" max="5" width="13.85546875" customWidth="1"/>
    <col min="6" max="6" width="9.140625" customWidth="1"/>
    <col min="7" max="7" width="8.7109375" customWidth="1"/>
    <col min="8" max="8" width="10.28515625" customWidth="1"/>
    <col min="9" max="9" width="8.7109375" customWidth="1"/>
    <col min="10" max="10" width="9.140625" customWidth="1"/>
    <col min="11" max="11" width="7" hidden="1" customWidth="1"/>
  </cols>
  <sheetData>
    <row r="1" spans="1:11" x14ac:dyDescent="0.2">
      <c r="A1" s="7" t="s">
        <v>227</v>
      </c>
      <c r="I1" s="326"/>
    </row>
    <row r="2" spans="1:11" x14ac:dyDescent="0.2">
      <c r="A2" s="696" t="s">
        <v>213</v>
      </c>
      <c r="B2" s="696"/>
      <c r="C2" s="696"/>
      <c r="D2" s="696"/>
      <c r="E2" s="185"/>
      <c r="F2" s="185"/>
      <c r="I2" s="326"/>
    </row>
    <row r="3" spans="1:11" x14ac:dyDescent="0.2">
      <c r="A3" s="7"/>
      <c r="B3" s="7"/>
    </row>
    <row r="4" spans="1:11" ht="12" customHeight="1" x14ac:dyDescent="0.2">
      <c r="A4" s="409" t="s">
        <v>80</v>
      </c>
      <c r="B4" s="410"/>
      <c r="C4" s="410"/>
      <c r="D4" s="410"/>
      <c r="E4" s="410"/>
      <c r="F4" s="410"/>
      <c r="G4" s="411"/>
      <c r="H4" s="19"/>
      <c r="I4" s="19"/>
    </row>
    <row r="5" spans="1:11" ht="12" customHeight="1" x14ac:dyDescent="0.2">
      <c r="A5" s="693" t="s">
        <v>81</v>
      </c>
      <c r="B5" s="694"/>
      <c r="C5" s="694"/>
      <c r="D5" s="694"/>
      <c r="E5" s="694"/>
      <c r="F5" s="694"/>
      <c r="G5" s="695"/>
      <c r="H5" s="19"/>
      <c r="I5" s="19"/>
    </row>
    <row r="6" spans="1:11" ht="12" customHeight="1" x14ac:dyDescent="0.2">
      <c r="H6" s="19"/>
      <c r="I6" s="19"/>
    </row>
    <row r="7" spans="1:11" ht="12" customHeight="1" x14ac:dyDescent="0.2">
      <c r="A7" s="19" t="s">
        <v>181</v>
      </c>
      <c r="B7" s="19"/>
      <c r="C7" s="19"/>
      <c r="D7" s="84">
        <v>1000</v>
      </c>
    </row>
    <row r="8" spans="1:11" ht="12" customHeight="1" x14ac:dyDescent="0.2"/>
    <row r="9" spans="1:11" ht="12" customHeight="1" x14ac:dyDescent="0.2"/>
    <row r="10" spans="1:11" ht="12" customHeight="1" x14ac:dyDescent="0.2">
      <c r="A10" s="97" t="s">
        <v>92</v>
      </c>
      <c r="B10" s="120"/>
      <c r="C10" s="120"/>
      <c r="D10" s="32"/>
      <c r="E10" s="106"/>
      <c r="F10" s="106"/>
      <c r="G10" s="106" t="str">
        <f>IF(E4="","",E4+1.96*F4)</f>
        <v/>
      </c>
      <c r="H10" s="19"/>
      <c r="I10" s="19"/>
    </row>
    <row r="11" spans="1:11" ht="12" customHeight="1" x14ac:dyDescent="0.2">
      <c r="A11" s="228">
        <v>1</v>
      </c>
      <c r="B11" s="727" t="s">
        <v>149</v>
      </c>
      <c r="C11" s="728"/>
      <c r="D11" s="728"/>
      <c r="E11" s="728"/>
      <c r="F11" s="728"/>
      <c r="G11" s="729"/>
      <c r="H11" s="19"/>
      <c r="I11" s="19"/>
    </row>
    <row r="12" spans="1:11" ht="12" customHeight="1" x14ac:dyDescent="0.2">
      <c r="A12" s="19"/>
      <c r="B12" s="675" t="s">
        <v>4</v>
      </c>
      <c r="C12" s="677"/>
      <c r="D12" s="19"/>
      <c r="E12" s="19"/>
      <c r="F12" s="19"/>
      <c r="G12" s="19"/>
      <c r="H12" s="19"/>
      <c r="I12" s="19"/>
    </row>
    <row r="13" spans="1:11" ht="12" customHeight="1" x14ac:dyDescent="0.2">
      <c r="A13" s="415" t="s">
        <v>107</v>
      </c>
      <c r="B13" s="407" t="s">
        <v>6</v>
      </c>
      <c r="C13" s="408" t="s">
        <v>180</v>
      </c>
      <c r="D13" s="415" t="s">
        <v>8</v>
      </c>
      <c r="E13" s="357" t="str">
        <f>CONCATENATE("Rate per ",$D$7)</f>
        <v>Rate per 1000</v>
      </c>
      <c r="F13" s="99" t="s">
        <v>9</v>
      </c>
      <c r="G13" s="97" t="s">
        <v>2</v>
      </c>
      <c r="H13" s="100" t="s">
        <v>12</v>
      </c>
      <c r="I13" s="403" t="s">
        <v>201</v>
      </c>
      <c r="J13" s="403" t="s">
        <v>214</v>
      </c>
      <c r="K13" s="417" t="s">
        <v>175</v>
      </c>
    </row>
    <row r="14" spans="1:11" ht="12" customHeight="1" x14ac:dyDescent="0.2">
      <c r="A14" s="35" t="str">
        <f>"2"</f>
        <v>2</v>
      </c>
      <c r="B14" s="88">
        <v>34</v>
      </c>
      <c r="C14" s="459">
        <v>1516</v>
      </c>
      <c r="D14" s="216">
        <f>IF(K14,B14/C14,"")</f>
        <v>2.2427440633245383E-2</v>
      </c>
      <c r="E14" s="81">
        <f>IF(K14,$D$7*B14/C14,"")</f>
        <v>22.427440633245382</v>
      </c>
      <c r="F14" s="69">
        <f>IF(K16,D14/D15,"")</f>
        <v>3.8149076517150395</v>
      </c>
      <c r="G14" s="196"/>
      <c r="H14" s="92">
        <f>IF(K16,EXP(H16),"")</f>
        <v>1.8848138492591826</v>
      </c>
      <c r="I14" s="32"/>
      <c r="J14" s="32"/>
      <c r="K14" t="b">
        <f>AND(B14&gt;0,INT(B14)=B14,C14&gt;0)</f>
        <v>1</v>
      </c>
    </row>
    <row r="15" spans="1:11" ht="12" customHeight="1" x14ac:dyDescent="0.2">
      <c r="A15" s="29" t="str">
        <f>"1 (Ref)"</f>
        <v>1 (Ref)</v>
      </c>
      <c r="B15" s="93">
        <v>10</v>
      </c>
      <c r="C15" s="460">
        <v>1701</v>
      </c>
      <c r="D15" s="197">
        <f>IF(C15=0,"",B15/C15)</f>
        <v>5.8788947677836569E-3</v>
      </c>
      <c r="E15" s="102">
        <f>IF(C15=0,"",$D$7*B15/C15)</f>
        <v>5.8788947677836569</v>
      </c>
      <c r="F15" s="218"/>
      <c r="G15" s="197"/>
      <c r="H15" s="104">
        <f>IF(K16,EXP(H17),"")</f>
        <v>7.7214629958465917</v>
      </c>
      <c r="I15" s="32"/>
      <c r="J15" s="32"/>
      <c r="K15" s="406" t="b">
        <f>AND(B15&gt;0,INT(B15)=B15,C15&gt;0)</f>
        <v>1</v>
      </c>
    </row>
    <row r="16" spans="1:11" ht="12" customHeight="1" x14ac:dyDescent="0.2">
      <c r="A16" s="407" t="s">
        <v>36</v>
      </c>
      <c r="B16" s="407">
        <f>SUM(B14:B15)</f>
        <v>44</v>
      </c>
      <c r="C16" s="184">
        <f>SUM(C14:C15)</f>
        <v>3217</v>
      </c>
      <c r="D16" s="129">
        <f>IF(K16,B16/C16,"")</f>
        <v>1.3677339135840846E-2</v>
      </c>
      <c r="E16" s="95">
        <f>IF(K16,$D$7*B16/C16,"")</f>
        <v>13.677339135840846</v>
      </c>
      <c r="F16" s="106">
        <f>IF(K16,LN(F14),"")</f>
        <v>1.3389164578156605</v>
      </c>
      <c r="G16" s="106">
        <f>IF(K16,SQRT(1/B14+1/B15),"")</f>
        <v>0.35973846709225071</v>
      </c>
      <c r="H16" s="106">
        <f>IF(K16,F16-1.96*G16,"")</f>
        <v>0.63382906231484915</v>
      </c>
      <c r="I16" s="106">
        <f>IF(K16,1/(G16^2),"")</f>
        <v>7.7272727272727284</v>
      </c>
      <c r="J16" s="106">
        <f>IF(K16,F16*I16,"")</f>
        <v>10.346172628575561</v>
      </c>
      <c r="K16" t="b">
        <f>AND(K14,K15)</f>
        <v>1</v>
      </c>
    </row>
    <row r="17" spans="1:11" ht="12" customHeight="1" x14ac:dyDescent="0.2">
      <c r="A17" s="119"/>
      <c r="B17" s="120"/>
      <c r="C17" s="463"/>
      <c r="D17" s="464"/>
      <c r="E17" s="19"/>
      <c r="F17" s="150"/>
      <c r="G17" s="150"/>
      <c r="H17" s="106">
        <f>IF(K16,F16+1.96*G16,"")</f>
        <v>2.0440038533164717</v>
      </c>
      <c r="I17" s="150"/>
      <c r="J17" s="150"/>
    </row>
    <row r="18" spans="1:11" ht="12" customHeight="1" x14ac:dyDescent="0.2">
      <c r="A18" s="97" t="s">
        <v>92</v>
      </c>
      <c r="B18" s="120"/>
      <c r="C18" s="120"/>
      <c r="D18" s="32"/>
      <c r="E18" s="106"/>
      <c r="F18" s="106"/>
      <c r="G18" s="106" t="str">
        <f>IF(E12="","",E12+1.96*F12)</f>
        <v/>
      </c>
      <c r="H18" s="19"/>
      <c r="I18" s="19"/>
      <c r="J18" s="406"/>
    </row>
    <row r="19" spans="1:11" ht="12" customHeight="1" x14ac:dyDescent="0.2">
      <c r="A19" s="228">
        <v>2</v>
      </c>
      <c r="B19" s="727" t="s">
        <v>215</v>
      </c>
      <c r="C19" s="728"/>
      <c r="D19" s="728"/>
      <c r="E19" s="728"/>
      <c r="F19" s="728"/>
      <c r="G19" s="729"/>
      <c r="H19" s="19"/>
      <c r="I19" s="19"/>
      <c r="J19" s="406"/>
    </row>
    <row r="20" spans="1:11" ht="12" customHeight="1" x14ac:dyDescent="0.2">
      <c r="A20" s="19"/>
      <c r="B20" s="675" t="s">
        <v>4</v>
      </c>
      <c r="C20" s="677"/>
      <c r="D20" s="19"/>
      <c r="E20" s="19"/>
      <c r="F20" s="19"/>
      <c r="G20" s="19"/>
      <c r="H20" s="19"/>
      <c r="I20" s="19"/>
      <c r="J20" s="406"/>
    </row>
    <row r="21" spans="1:11" ht="12" customHeight="1" x14ac:dyDescent="0.2">
      <c r="A21" s="415" t="s">
        <v>107</v>
      </c>
      <c r="B21" s="407" t="s">
        <v>6</v>
      </c>
      <c r="C21" s="408" t="s">
        <v>180</v>
      </c>
      <c r="D21" s="415" t="s">
        <v>8</v>
      </c>
      <c r="E21" s="357" t="str">
        <f>CONCATENATE("Rate per ",$D$7)</f>
        <v>Rate per 1000</v>
      </c>
      <c r="F21" s="99" t="s">
        <v>9</v>
      </c>
      <c r="G21" s="97" t="s">
        <v>2</v>
      </c>
      <c r="H21" s="100" t="s">
        <v>12</v>
      </c>
      <c r="I21" s="403" t="s">
        <v>201</v>
      </c>
      <c r="J21" s="403" t="s">
        <v>214</v>
      </c>
      <c r="K21" s="417" t="s">
        <v>175</v>
      </c>
    </row>
    <row r="22" spans="1:11" ht="12" customHeight="1" x14ac:dyDescent="0.2">
      <c r="A22" s="35" t="str">
        <f>"2"</f>
        <v>2</v>
      </c>
      <c r="B22" s="88">
        <v>76</v>
      </c>
      <c r="C22" s="459">
        <v>949</v>
      </c>
      <c r="D22" s="216">
        <f>IF(K22,B22/C22,"")</f>
        <v>8.0084299262381448E-2</v>
      </c>
      <c r="E22" s="81">
        <f>IF(K22,$D$7*B22/C22,"")</f>
        <v>80.08429926238145</v>
      </c>
      <c r="F22" s="69">
        <f>IF(K24,D22/D23,"")</f>
        <v>1.4858615854879862</v>
      </c>
      <c r="G22" s="196"/>
      <c r="H22" s="92">
        <f>IF(K24,EXP(H24),"")</f>
        <v>1.1152981605630394</v>
      </c>
      <c r="I22" s="32"/>
      <c r="J22" s="32"/>
      <c r="K22" s="406" t="b">
        <f>AND(B22&gt;0,INT(B22)=B22,C22&gt;0)</f>
        <v>1</v>
      </c>
    </row>
    <row r="23" spans="1:11" ht="12" customHeight="1" x14ac:dyDescent="0.2">
      <c r="A23" s="29" t="str">
        <f>"1 (Ref)"</f>
        <v>1 (Ref)</v>
      </c>
      <c r="B23" s="93">
        <v>121</v>
      </c>
      <c r="C23" s="460">
        <v>2245</v>
      </c>
      <c r="D23" s="197">
        <f>IF(C23=0,"",B23/C23)</f>
        <v>5.3897550111358578E-2</v>
      </c>
      <c r="E23" s="102">
        <f>IF(C23=0,"",$D$7*B23/C23)</f>
        <v>53.897550111358576</v>
      </c>
      <c r="F23" s="218"/>
      <c r="G23" s="197"/>
      <c r="H23" s="104">
        <f>IF(K24,EXP(H25),"")</f>
        <v>1.9795465726531005</v>
      </c>
      <c r="I23" s="32"/>
      <c r="J23" s="32"/>
      <c r="K23" s="406" t="b">
        <f>AND(B23&gt;0,INT(B23)=B23,C23&gt;0)</f>
        <v>1</v>
      </c>
    </row>
    <row r="24" spans="1:11" ht="12" customHeight="1" x14ac:dyDescent="0.2">
      <c r="A24" s="407" t="s">
        <v>36</v>
      </c>
      <c r="B24" s="407">
        <f>SUM(B22:B23)</f>
        <v>197</v>
      </c>
      <c r="C24" s="184">
        <f>SUM(C22:C23)</f>
        <v>3194</v>
      </c>
      <c r="D24" s="129">
        <f>IF(K24,B24/C24,"")</f>
        <v>6.1678146524733878E-2</v>
      </c>
      <c r="E24" s="95">
        <f>IF(K24,$D$7*B24/C24,"")</f>
        <v>61.678146524733876</v>
      </c>
      <c r="F24" s="106">
        <f>IF(K24,LN(F22),"")</f>
        <v>0.39599479625601658</v>
      </c>
      <c r="G24" s="106">
        <f>IF(K24,SQRT(1/B22+1/B23),"")</f>
        <v>0.14636378495638688</v>
      </c>
      <c r="H24" s="106">
        <f>IF(K24,F24-1.96*G24,"")</f>
        <v>0.10912177774149828</v>
      </c>
      <c r="I24" s="106">
        <f>IF(K24,1/(G24^2),"")</f>
        <v>46.680203045685275</v>
      </c>
      <c r="J24" s="106">
        <f>IF(K24,F24*I24,"")</f>
        <v>18.485117494265626</v>
      </c>
      <c r="K24" s="406" t="b">
        <f>AND(K22,K23)</f>
        <v>1</v>
      </c>
    </row>
    <row r="25" spans="1:11" ht="12" customHeight="1" x14ac:dyDescent="0.2">
      <c r="A25" s="119"/>
      <c r="B25" s="120"/>
      <c r="C25" s="463"/>
      <c r="D25" s="464"/>
      <c r="E25" s="19"/>
      <c r="F25" s="150"/>
      <c r="G25" s="150"/>
      <c r="H25" s="106">
        <f>IF(K24,F24+1.96*G24,"")</f>
        <v>0.68286781477053493</v>
      </c>
      <c r="I25" s="150"/>
      <c r="J25" s="150"/>
      <c r="K25" s="406"/>
    </row>
    <row r="26" spans="1:11" ht="12" customHeight="1" x14ac:dyDescent="0.2">
      <c r="A26" s="97" t="s">
        <v>92</v>
      </c>
      <c r="B26" s="120"/>
      <c r="C26" s="120"/>
      <c r="D26" s="32"/>
      <c r="E26" s="106"/>
      <c r="F26" s="106"/>
      <c r="G26" s="106" t="str">
        <f>IF(E20="","",E20+1.96*F20)</f>
        <v/>
      </c>
      <c r="H26" s="19"/>
      <c r="I26" s="19"/>
      <c r="J26" s="406"/>
    </row>
    <row r="27" spans="1:11" ht="12" customHeight="1" x14ac:dyDescent="0.2">
      <c r="A27" s="228">
        <v>3</v>
      </c>
      <c r="B27" s="727"/>
      <c r="C27" s="728"/>
      <c r="D27" s="728"/>
      <c r="E27" s="728"/>
      <c r="F27" s="728"/>
      <c r="G27" s="729"/>
      <c r="H27" s="19"/>
      <c r="I27" s="19"/>
      <c r="J27" s="406"/>
    </row>
    <row r="28" spans="1:11" ht="12" customHeight="1" x14ac:dyDescent="0.2">
      <c r="A28" s="19"/>
      <c r="B28" s="675" t="s">
        <v>4</v>
      </c>
      <c r="C28" s="677"/>
      <c r="D28" s="19"/>
      <c r="E28" s="19"/>
      <c r="F28" s="19"/>
      <c r="G28" s="19"/>
      <c r="H28" s="19"/>
      <c r="I28" s="19"/>
      <c r="J28" s="406"/>
    </row>
    <row r="29" spans="1:11" ht="12" customHeight="1" x14ac:dyDescent="0.2">
      <c r="A29" s="415" t="s">
        <v>107</v>
      </c>
      <c r="B29" s="407" t="s">
        <v>6</v>
      </c>
      <c r="C29" s="408" t="s">
        <v>180</v>
      </c>
      <c r="D29" s="415" t="s">
        <v>8</v>
      </c>
      <c r="E29" s="357" t="str">
        <f>CONCATENATE("Rate per ",$D$7)</f>
        <v>Rate per 1000</v>
      </c>
      <c r="F29" s="99" t="s">
        <v>9</v>
      </c>
      <c r="G29" s="97" t="s">
        <v>2</v>
      </c>
      <c r="H29" s="100" t="s">
        <v>12</v>
      </c>
      <c r="I29" s="403" t="s">
        <v>201</v>
      </c>
      <c r="J29" s="403" t="s">
        <v>214</v>
      </c>
      <c r="K29" s="417" t="s">
        <v>175</v>
      </c>
    </row>
    <row r="30" spans="1:11" ht="12" customHeight="1" x14ac:dyDescent="0.2">
      <c r="A30" s="35" t="str">
        <f>"2"</f>
        <v>2</v>
      </c>
      <c r="B30" s="88"/>
      <c r="C30" s="459"/>
      <c r="D30" s="216" t="str">
        <f>IF(K30,B30/C30,"")</f>
        <v/>
      </c>
      <c r="E30" s="81" t="str">
        <f>IF(K30,$D$7*B30/C30,"")</f>
        <v/>
      </c>
      <c r="F30" s="69" t="str">
        <f>IF(K32,D30/D31,"")</f>
        <v/>
      </c>
      <c r="G30" s="196"/>
      <c r="H30" s="92" t="str">
        <f>IF(K32,EXP(H32),"")</f>
        <v/>
      </c>
      <c r="I30" s="32"/>
      <c r="J30" s="32"/>
      <c r="K30" s="406" t="b">
        <f>AND(B30&gt;0,INT(B30)=B30,C30&gt;0)</f>
        <v>0</v>
      </c>
    </row>
    <row r="31" spans="1:11" ht="12" customHeight="1" x14ac:dyDescent="0.2">
      <c r="A31" s="29" t="str">
        <f>"1 (Ref)"</f>
        <v>1 (Ref)</v>
      </c>
      <c r="B31" s="93"/>
      <c r="C31" s="460"/>
      <c r="D31" s="197" t="str">
        <f>IF(C31=0,"",B31/C31)</f>
        <v/>
      </c>
      <c r="E31" s="102" t="str">
        <f>IF(C31=0,"",$D$7*B31/C31)</f>
        <v/>
      </c>
      <c r="F31" s="218"/>
      <c r="G31" s="197"/>
      <c r="H31" s="104" t="str">
        <f>IF(K32,EXP(H33),"")</f>
        <v/>
      </c>
      <c r="I31" s="32"/>
      <c r="J31" s="32"/>
      <c r="K31" s="406" t="b">
        <f>AND(B31&gt;0,INT(B31)=B31,C31&gt;0)</f>
        <v>0</v>
      </c>
    </row>
    <row r="32" spans="1:11" ht="12" customHeight="1" x14ac:dyDescent="0.2">
      <c r="A32" s="407" t="s">
        <v>36</v>
      </c>
      <c r="B32" s="407">
        <f>SUM(B30:B31)</f>
        <v>0</v>
      </c>
      <c r="C32" s="184">
        <f>SUM(C30:C31)</f>
        <v>0</v>
      </c>
      <c r="D32" s="129" t="str">
        <f>IF(K32,B32/C32,"")</f>
        <v/>
      </c>
      <c r="E32" s="95" t="str">
        <f>IF(K32,$D$7*B32/C32,"")</f>
        <v/>
      </c>
      <c r="F32" s="106" t="str">
        <f>IF(K32,LN(F30),"")</f>
        <v/>
      </c>
      <c r="G32" s="106" t="str">
        <f>IF(K32,SQRT(1/B30+1/B31),"")</f>
        <v/>
      </c>
      <c r="H32" s="106" t="str">
        <f>IF(K32,F32-1.96*G32,"")</f>
        <v/>
      </c>
      <c r="I32" s="106" t="str">
        <f>IF(K32,1/(G32^2),"")</f>
        <v/>
      </c>
      <c r="J32" s="106" t="str">
        <f>IF(K32,F32*I32,"")</f>
        <v/>
      </c>
      <c r="K32" s="406" t="b">
        <f>AND(K30,K31)</f>
        <v>0</v>
      </c>
    </row>
    <row r="33" spans="1:11" ht="12" customHeight="1" x14ac:dyDescent="0.2">
      <c r="A33" s="119"/>
      <c r="B33" s="120"/>
      <c r="C33" s="463"/>
      <c r="D33" s="464"/>
      <c r="E33" s="19"/>
      <c r="F33" s="150"/>
      <c r="G33" s="150"/>
      <c r="H33" s="106" t="str">
        <f>IF(K32,F32+1.96*G32,"")</f>
        <v/>
      </c>
      <c r="I33" s="150"/>
      <c r="J33" s="150"/>
      <c r="K33" s="406"/>
    </row>
    <row r="34" spans="1:11" ht="12" customHeight="1" x14ac:dyDescent="0.2">
      <c r="A34" s="97" t="s">
        <v>92</v>
      </c>
      <c r="B34" s="120"/>
      <c r="C34" s="120"/>
      <c r="D34" s="32"/>
      <c r="E34" s="106"/>
      <c r="F34" s="106"/>
      <c r="G34" s="106" t="str">
        <f>IF(E28="","",E28+1.96*F28)</f>
        <v/>
      </c>
      <c r="H34" s="19"/>
      <c r="I34" s="19"/>
      <c r="J34" s="406"/>
    </row>
    <row r="35" spans="1:11" ht="12" customHeight="1" x14ac:dyDescent="0.2">
      <c r="A35" s="228">
        <v>4</v>
      </c>
      <c r="B35" s="727"/>
      <c r="C35" s="728"/>
      <c r="D35" s="728"/>
      <c r="E35" s="728"/>
      <c r="F35" s="728"/>
      <c r="G35" s="729"/>
      <c r="H35" s="19"/>
      <c r="I35" s="19"/>
      <c r="J35" s="406"/>
    </row>
    <row r="36" spans="1:11" ht="12" customHeight="1" x14ac:dyDescent="0.2">
      <c r="A36" s="19"/>
      <c r="B36" s="675" t="s">
        <v>4</v>
      </c>
      <c r="C36" s="677"/>
      <c r="D36" s="19"/>
      <c r="E36" s="19"/>
      <c r="F36" s="19"/>
      <c r="G36" s="19"/>
      <c r="H36" s="19"/>
      <c r="I36" s="19"/>
      <c r="J36" s="406"/>
    </row>
    <row r="37" spans="1:11" ht="12" customHeight="1" x14ac:dyDescent="0.2">
      <c r="A37" s="415" t="s">
        <v>107</v>
      </c>
      <c r="B37" s="407" t="s">
        <v>6</v>
      </c>
      <c r="C37" s="408" t="s">
        <v>180</v>
      </c>
      <c r="D37" s="415" t="s">
        <v>8</v>
      </c>
      <c r="E37" s="357" t="str">
        <f>CONCATENATE("Rate per ",$D$7)</f>
        <v>Rate per 1000</v>
      </c>
      <c r="F37" s="99" t="s">
        <v>9</v>
      </c>
      <c r="G37" s="97" t="s">
        <v>2</v>
      </c>
      <c r="H37" s="100" t="s">
        <v>12</v>
      </c>
      <c r="I37" s="403" t="s">
        <v>201</v>
      </c>
      <c r="J37" s="403" t="s">
        <v>214</v>
      </c>
      <c r="K37" s="417" t="s">
        <v>175</v>
      </c>
    </row>
    <row r="38" spans="1:11" ht="12" customHeight="1" x14ac:dyDescent="0.2">
      <c r="A38" s="35" t="str">
        <f>"2"</f>
        <v>2</v>
      </c>
      <c r="B38" s="88"/>
      <c r="C38" s="459"/>
      <c r="D38" s="216" t="str">
        <f>IF(K38,B38/C38,"")</f>
        <v/>
      </c>
      <c r="E38" s="81" t="str">
        <f>IF(K38,$D$7*B38/C38,"")</f>
        <v/>
      </c>
      <c r="F38" s="69" t="str">
        <f>IF(K40,D38/D39,"")</f>
        <v/>
      </c>
      <c r="G38" s="196"/>
      <c r="H38" s="92" t="str">
        <f>IF(K40,EXP(H40),"")</f>
        <v/>
      </c>
      <c r="I38" s="32"/>
      <c r="J38" s="32"/>
      <c r="K38" s="406" t="b">
        <f>AND(B38&gt;0,INT(B38)=B38,C38&gt;0)</f>
        <v>0</v>
      </c>
    </row>
    <row r="39" spans="1:11" ht="12" customHeight="1" x14ac:dyDescent="0.2">
      <c r="A39" s="29" t="str">
        <f>"1 (Ref)"</f>
        <v>1 (Ref)</v>
      </c>
      <c r="B39" s="93"/>
      <c r="C39" s="460"/>
      <c r="D39" s="197" t="str">
        <f>IF(C39=0,"",B39/C39)</f>
        <v/>
      </c>
      <c r="E39" s="102" t="str">
        <f>IF(C39=0,"",$D$7*B39/C39)</f>
        <v/>
      </c>
      <c r="F39" s="218"/>
      <c r="G39" s="197"/>
      <c r="H39" s="104" t="str">
        <f>IF(K40,EXP(H41),"")</f>
        <v/>
      </c>
      <c r="I39" s="32"/>
      <c r="J39" s="32"/>
      <c r="K39" s="406" t="b">
        <f>AND(B39&gt;0,INT(B39)=B39,C39&gt;0)</f>
        <v>0</v>
      </c>
    </row>
    <row r="40" spans="1:11" ht="12" customHeight="1" x14ac:dyDescent="0.2">
      <c r="A40" s="407" t="s">
        <v>36</v>
      </c>
      <c r="B40" s="407">
        <f>SUM(B38:B39)</f>
        <v>0</v>
      </c>
      <c r="C40" s="184">
        <f>SUM(C38:C39)</f>
        <v>0</v>
      </c>
      <c r="D40" s="129" t="str">
        <f>IF(K40,B40/C40,"")</f>
        <v/>
      </c>
      <c r="E40" s="95" t="str">
        <f>IF(K40,$D$7*B40/C40,"")</f>
        <v/>
      </c>
      <c r="F40" s="106" t="str">
        <f>IF(K40,LN(F38),"")</f>
        <v/>
      </c>
      <c r="G40" s="106" t="str">
        <f>IF(K40,SQRT(1/B38+1/B39),"")</f>
        <v/>
      </c>
      <c r="H40" s="106" t="str">
        <f>IF(K40,F40-1.96*G40,"")</f>
        <v/>
      </c>
      <c r="I40" s="106" t="str">
        <f>IF(K40,1/(G40^2),"")</f>
        <v/>
      </c>
      <c r="J40" s="106" t="str">
        <f>IF(K40,F40*I40,"")</f>
        <v/>
      </c>
      <c r="K40" s="406" t="b">
        <f>AND(K38,K39)</f>
        <v>0</v>
      </c>
    </row>
    <row r="41" spans="1:11" ht="12" customHeight="1" x14ac:dyDescent="0.2">
      <c r="A41" s="119"/>
      <c r="B41" s="120"/>
      <c r="C41" s="463"/>
      <c r="D41" s="464"/>
      <c r="E41" s="19"/>
      <c r="F41" s="150"/>
      <c r="G41" s="150"/>
      <c r="H41" s="106" t="str">
        <f>IF(K40,F40+1.96*G40,"")</f>
        <v/>
      </c>
      <c r="I41" s="150"/>
      <c r="J41" s="150"/>
      <c r="K41" s="406"/>
    </row>
    <row r="42" spans="1:11" ht="12" customHeight="1" x14ac:dyDescent="0.2">
      <c r="A42" s="97" t="s">
        <v>92</v>
      </c>
      <c r="B42" s="120"/>
      <c r="C42" s="120"/>
      <c r="D42" s="32"/>
      <c r="E42" s="106"/>
      <c r="F42" s="106"/>
      <c r="G42" s="106" t="str">
        <f>IF(E36="","",E36+1.96*F36)</f>
        <v/>
      </c>
      <c r="H42" s="19"/>
      <c r="I42" s="19"/>
      <c r="J42" s="406"/>
    </row>
    <row r="43" spans="1:11" ht="12" customHeight="1" x14ac:dyDescent="0.2">
      <c r="A43" s="228">
        <v>5</v>
      </c>
      <c r="B43" s="727"/>
      <c r="C43" s="728"/>
      <c r="D43" s="728"/>
      <c r="E43" s="728"/>
      <c r="F43" s="728"/>
      <c r="G43" s="729"/>
      <c r="H43" s="19"/>
      <c r="I43" s="19"/>
      <c r="J43" s="406"/>
    </row>
    <row r="44" spans="1:11" ht="12" customHeight="1" x14ac:dyDescent="0.2">
      <c r="A44" s="19"/>
      <c r="B44" s="675" t="s">
        <v>4</v>
      </c>
      <c r="C44" s="677"/>
      <c r="D44" s="19"/>
      <c r="E44" s="19"/>
      <c r="F44" s="19"/>
      <c r="G44" s="19"/>
      <c r="H44" s="19"/>
      <c r="I44" s="19"/>
      <c r="J44" s="406"/>
    </row>
    <row r="45" spans="1:11" ht="12" customHeight="1" x14ac:dyDescent="0.2">
      <c r="A45" s="415" t="s">
        <v>107</v>
      </c>
      <c r="B45" s="407" t="s">
        <v>6</v>
      </c>
      <c r="C45" s="408" t="s">
        <v>180</v>
      </c>
      <c r="D45" s="415" t="s">
        <v>8</v>
      </c>
      <c r="E45" s="357" t="str">
        <f>CONCATENATE("Rate per ",$D$7)</f>
        <v>Rate per 1000</v>
      </c>
      <c r="F45" s="99" t="s">
        <v>9</v>
      </c>
      <c r="G45" s="97" t="s">
        <v>2</v>
      </c>
      <c r="H45" s="100" t="s">
        <v>12</v>
      </c>
      <c r="I45" s="403" t="s">
        <v>201</v>
      </c>
      <c r="J45" s="403" t="s">
        <v>214</v>
      </c>
      <c r="K45" s="417" t="s">
        <v>175</v>
      </c>
    </row>
    <row r="46" spans="1:11" ht="12" customHeight="1" x14ac:dyDescent="0.2">
      <c r="A46" s="35" t="str">
        <f>"2"</f>
        <v>2</v>
      </c>
      <c r="B46" s="88"/>
      <c r="C46" s="459"/>
      <c r="D46" s="216" t="str">
        <f>IF(K46,B46/C46,"")</f>
        <v/>
      </c>
      <c r="E46" s="81" t="str">
        <f>IF(K46,$D$7*B46/C46,"")</f>
        <v/>
      </c>
      <c r="F46" s="69" t="str">
        <f>IF(K48,D46/D47,"")</f>
        <v/>
      </c>
      <c r="G46" s="196"/>
      <c r="H46" s="92" t="str">
        <f>IF(K48,EXP(H48),"")</f>
        <v/>
      </c>
      <c r="I46" s="32"/>
      <c r="J46" s="32"/>
      <c r="K46" s="406" t="b">
        <f>AND(B46&gt;0,INT(B46)=B46,C46&gt;0)</f>
        <v>0</v>
      </c>
    </row>
    <row r="47" spans="1:11" ht="12" customHeight="1" x14ac:dyDescent="0.2">
      <c r="A47" s="29" t="str">
        <f>"1 (Ref)"</f>
        <v>1 (Ref)</v>
      </c>
      <c r="B47" s="93"/>
      <c r="C47" s="460"/>
      <c r="D47" s="197" t="str">
        <f>IF(C47=0,"",B47/C47)</f>
        <v/>
      </c>
      <c r="E47" s="102" t="str">
        <f>IF(C47=0,"",$D$7*B47/C47)</f>
        <v/>
      </c>
      <c r="F47" s="218"/>
      <c r="G47" s="197"/>
      <c r="H47" s="104" t="str">
        <f>IF(K48,EXP(H49),"")</f>
        <v/>
      </c>
      <c r="I47" s="32"/>
      <c r="J47" s="32"/>
      <c r="K47" s="406" t="b">
        <f>AND(B47&gt;0,INT(B47)=B47,C47&gt;0)</f>
        <v>0</v>
      </c>
    </row>
    <row r="48" spans="1:11" ht="12" customHeight="1" x14ac:dyDescent="0.2">
      <c r="A48" s="407" t="s">
        <v>36</v>
      </c>
      <c r="B48" s="407">
        <f>SUM(B46:B47)</f>
        <v>0</v>
      </c>
      <c r="C48" s="184">
        <f>SUM(C46:C47)</f>
        <v>0</v>
      </c>
      <c r="D48" s="129" t="str">
        <f>IF(K48,B48/C48,"")</f>
        <v/>
      </c>
      <c r="E48" s="95" t="str">
        <f>IF(K48,$D$7*B48/C48,"")</f>
        <v/>
      </c>
      <c r="F48" s="106" t="str">
        <f>IF(K48,LN(F46),"")</f>
        <v/>
      </c>
      <c r="G48" s="106" t="str">
        <f>IF(K48,SQRT(1/B46+1/B47),"")</f>
        <v/>
      </c>
      <c r="H48" s="106" t="str">
        <f>IF(K48,F48-1.96*G48,"")</f>
        <v/>
      </c>
      <c r="I48" s="106" t="str">
        <f>IF(K48,1/(G48^2),"")</f>
        <v/>
      </c>
      <c r="J48" s="106" t="str">
        <f>IF(K48,F48*I48,"")</f>
        <v/>
      </c>
      <c r="K48" s="406" t="b">
        <f>AND(K46,K47)</f>
        <v>0</v>
      </c>
    </row>
    <row r="49" spans="1:11" ht="12" customHeight="1" x14ac:dyDescent="0.2">
      <c r="A49" s="119"/>
      <c r="B49" s="120"/>
      <c r="C49" s="463"/>
      <c r="D49" s="487"/>
      <c r="E49" s="19"/>
      <c r="F49" s="150"/>
      <c r="G49" s="150"/>
      <c r="H49" s="106" t="str">
        <f>IF(K48,F48+1.96*G48,"")</f>
        <v/>
      </c>
      <c r="I49" s="150"/>
      <c r="J49" s="150"/>
      <c r="K49" s="406"/>
    </row>
    <row r="50" spans="1:11" ht="12" customHeight="1" x14ac:dyDescent="0.2">
      <c r="A50" s="324"/>
      <c r="B50" s="324"/>
      <c r="C50" s="324"/>
      <c r="D50" s="324"/>
      <c r="E50" s="324"/>
      <c r="F50" s="324"/>
      <c r="G50" s="324"/>
      <c r="H50" s="324"/>
      <c r="I50" s="324"/>
      <c r="J50" s="324"/>
    </row>
    <row r="51" spans="1:11" ht="12" customHeight="1" x14ac:dyDescent="0.2">
      <c r="A51" s="324"/>
      <c r="B51" s="324"/>
      <c r="C51" s="553" t="s">
        <v>16</v>
      </c>
      <c r="D51" s="101"/>
      <c r="E51" s="122"/>
      <c r="F51" s="324"/>
      <c r="G51" s="324"/>
      <c r="H51" s="324"/>
      <c r="I51" s="324"/>
      <c r="J51" s="324"/>
    </row>
    <row r="52" spans="1:11" ht="12" customHeight="1" x14ac:dyDescent="0.2">
      <c r="A52" s="324"/>
      <c r="B52" s="324"/>
      <c r="C52" s="151" t="s">
        <v>9</v>
      </c>
      <c r="D52" s="152" t="s">
        <v>2</v>
      </c>
      <c r="E52" s="153" t="s">
        <v>12</v>
      </c>
      <c r="F52" s="324"/>
      <c r="G52" s="324"/>
      <c r="H52" s="324"/>
      <c r="I52" s="324"/>
      <c r="J52" s="324"/>
      <c r="K52" s="19" t="b">
        <f>OR(K16,K24,K32,K40,K48)</f>
        <v>1</v>
      </c>
    </row>
    <row r="53" spans="1:11" ht="12" customHeight="1" x14ac:dyDescent="0.2">
      <c r="C53" s="490">
        <f>IF(K52,EXP(C55),"")</f>
        <v>1.6987864254764211</v>
      </c>
      <c r="D53" s="216"/>
      <c r="E53" s="491">
        <f>IF(K52,EXP(E55),"")</f>
        <v>1.3023789782388688</v>
      </c>
    </row>
    <row r="54" spans="1:11" ht="12" customHeight="1" x14ac:dyDescent="0.2">
      <c r="C54" s="218"/>
      <c r="D54" s="197"/>
      <c r="E54" s="128">
        <f>IF(K52,EXP(E56),"")</f>
        <v>2.2158491250260788</v>
      </c>
    </row>
    <row r="55" spans="1:11" ht="12" customHeight="1" x14ac:dyDescent="0.2">
      <c r="C55" s="106">
        <f>IF(K52,J55/I55,"")</f>
        <v>0.52991412877072175</v>
      </c>
      <c r="D55" s="106">
        <f>IF(K52,SQRT(1/I55),"")</f>
        <v>0.13557222113365111</v>
      </c>
      <c r="E55" s="106">
        <f>IF(K52,C55-1.96*D55,"")</f>
        <v>0.26419257534876556</v>
      </c>
      <c r="I55" s="106">
        <f>SUMIF(I16:I49,"&gt;0")</f>
        <v>54.407475772958001</v>
      </c>
      <c r="J55" s="106">
        <f>SUMIF(J16:J49,"&lt;&gt;0")</f>
        <v>28.831290122841189</v>
      </c>
    </row>
    <row r="56" spans="1:11" ht="12" customHeight="1" x14ac:dyDescent="0.2">
      <c r="C56" s="106"/>
      <c r="D56" s="106"/>
      <c r="E56" s="106">
        <f>IF(K52,C55+1.96*D55,"")</f>
        <v>0.795635682192678</v>
      </c>
    </row>
    <row r="57" spans="1:11" ht="12" customHeight="1" x14ac:dyDescent="0.2"/>
    <row r="58" spans="1:11" ht="12" customHeight="1" x14ac:dyDescent="0.2">
      <c r="A58" s="723" t="s">
        <v>148</v>
      </c>
      <c r="B58" s="723"/>
      <c r="C58" s="492">
        <v>1</v>
      </c>
      <c r="D58" s="30" t="s">
        <v>14</v>
      </c>
      <c r="E58" s="404">
        <f>IF(K58,(C55-LN(C58))/D55,"")</f>
        <v>3.9087220401022766</v>
      </c>
      <c r="F58" s="30" t="s">
        <v>203</v>
      </c>
      <c r="G58" s="404" t="str">
        <f>IF(K58,IF(2*(1-NORMSDIST(ABS(E58)))&gt;=0.001,2*(1-NORMSDIST(ABS(E58))),"&lt;0.001"),"")</f>
        <v>&lt;0.001</v>
      </c>
      <c r="K58" t="b">
        <f>AND(K52,NOT(ISBLANK(C58)))</f>
        <v>1</v>
      </c>
    </row>
    <row r="59" spans="1:11" ht="12" customHeight="1" x14ac:dyDescent="0.2"/>
    <row r="60" spans="1:11" ht="12" customHeight="1" x14ac:dyDescent="0.2">
      <c r="A60" s="121"/>
      <c r="B60" s="124"/>
      <c r="C60" s="124"/>
      <c r="D60" s="19"/>
      <c r="H60" s="19"/>
      <c r="I60" s="19"/>
    </row>
    <row r="61" spans="1:11" ht="12" customHeight="1" x14ac:dyDescent="0.2">
      <c r="A61" s="700" t="s">
        <v>216</v>
      </c>
      <c r="B61" s="700"/>
      <c r="C61" s="700"/>
      <c r="D61" s="700"/>
      <c r="E61" s="106"/>
      <c r="F61" s="106"/>
      <c r="G61" s="106"/>
      <c r="H61" s="154"/>
      <c r="I61" s="127"/>
    </row>
    <row r="62" spans="1:11" ht="12" customHeight="1" x14ac:dyDescent="0.2">
      <c r="A62" s="37" t="s">
        <v>92</v>
      </c>
      <c r="B62" s="407" t="s">
        <v>158</v>
      </c>
      <c r="C62" s="37" t="s">
        <v>9</v>
      </c>
      <c r="D62" s="675" t="s">
        <v>12</v>
      </c>
      <c r="E62" s="677"/>
      <c r="F62" s="465" t="s">
        <v>154</v>
      </c>
      <c r="H62" s="46"/>
      <c r="I62" s="156"/>
    </row>
    <row r="63" spans="1:11" ht="12" customHeight="1" x14ac:dyDescent="0.2">
      <c r="A63" s="170">
        <v>1</v>
      </c>
      <c r="B63" s="423" t="str">
        <f>IF(K63,IF(ISBLANK(CHOOSE(A63,B11,B19,B25,B31,B37,B43)),"",CHOOSE(A63,B11,B19,B25,B31,B37,B43)),"")</f>
        <v>Age &lt; 65</v>
      </c>
      <c r="C63" s="493">
        <f>IF(K63,CHOOSE(A63,F14,F22,F30,F38,F46),"")</f>
        <v>3.8149076517150395</v>
      </c>
      <c r="D63" s="69">
        <f>IF(K63,CHOOSE(A63,H14,H22,H30,H38,H46),"")</f>
        <v>1.8848138492591826</v>
      </c>
      <c r="E63" s="495">
        <f>IF(K63,CHOOSE(A63,H15,H23,H31,H39,H47),"")</f>
        <v>7.7214629958465917</v>
      </c>
      <c r="F63" s="231">
        <f>IF(K63,CHOOSE(A63,G16,G24,G32,G40,G48),"")</f>
        <v>0.35973846709225071</v>
      </c>
      <c r="H63" s="19"/>
      <c r="I63" s="19"/>
      <c r="K63" s="429" t="b">
        <f>IF(NOT(ISBLANK(A63)),CHOOSE(A63,K16,K24,K32,K40,K48),FALSE)</f>
        <v>1</v>
      </c>
    </row>
    <row r="64" spans="1:11" ht="12" customHeight="1" x14ac:dyDescent="0.2">
      <c r="A64" s="164">
        <v>2</v>
      </c>
      <c r="B64" s="424" t="str">
        <f>IF(K64,IF(ISBLANK(CHOOSE(A64,B11,B19,B25,B31,B37,B43)),"",CHOOSE(A64,B11,B19,B25,B31,B37,B43)),"")</f>
        <v>Age &gt; 65</v>
      </c>
      <c r="C64" s="494">
        <f>IF(K64,CHOOSE(A64,F14,F22,F30,F38,F46),"")</f>
        <v>1.4858615854879862</v>
      </c>
      <c r="D64" s="113">
        <f>IF(K64,CHOOSE(A64,H14,H22,H30,H38,H46),"")</f>
        <v>1.1152981605630394</v>
      </c>
      <c r="E64" s="114">
        <f>IF(K64,CHOOSE(A64,H15,H23,H31,H39,H47),"")</f>
        <v>1.9795465726531005</v>
      </c>
      <c r="F64" s="232">
        <f>IF(K64,CHOOSE(A64,G16,G24,G32,G40,G48),"")</f>
        <v>0.14636378495638688</v>
      </c>
      <c r="J64" s="405"/>
      <c r="K64" s="429" t="b">
        <f>IF(NOT(ISBLANK(A64)),CHOOSE(A64,K16,K24,K32,K40,K48),FALSE)</f>
        <v>1</v>
      </c>
    </row>
    <row r="65" spans="1:11" ht="12" customHeight="1" x14ac:dyDescent="0.2">
      <c r="A65" s="29" t="s">
        <v>114</v>
      </c>
      <c r="B65" s="103"/>
      <c r="C65" s="103">
        <f>IF(K65,C63/C64,"")</f>
        <v>2.5674717544179249</v>
      </c>
      <c r="D65" s="496">
        <f>IF(K65,EXP(LN(C65)-1.96*F65),"")</f>
        <v>1.1992654342764706</v>
      </c>
      <c r="E65" s="497">
        <f>IF(K65,EXP(LN(C65)+1.96*F65),"")</f>
        <v>5.4966240344539123</v>
      </c>
      <c r="F65" s="229">
        <f>IF(K65,SQRT(F63^2+F64^2),"")</f>
        <v>0.38837368892941476</v>
      </c>
      <c r="H65" s="106"/>
      <c r="I65" s="106"/>
      <c r="K65" t="b">
        <f>AND(K63,K64)</f>
        <v>1</v>
      </c>
    </row>
    <row r="66" spans="1:11" ht="12" customHeight="1" x14ac:dyDescent="0.2">
      <c r="A66" s="34"/>
      <c r="B66" s="108"/>
      <c r="C66" s="108"/>
      <c r="D66" s="108"/>
      <c r="E66" s="85"/>
      <c r="F66" s="106"/>
      <c r="G66" s="106"/>
      <c r="H66" s="106"/>
      <c r="I66" s="106"/>
    </row>
    <row r="67" spans="1:11" ht="12" customHeight="1" x14ac:dyDescent="0.2">
      <c r="A67" s="723" t="s">
        <v>116</v>
      </c>
      <c r="B67" s="724"/>
      <c r="C67" s="492">
        <v>1</v>
      </c>
      <c r="D67" s="427" t="s">
        <v>14</v>
      </c>
      <c r="E67" s="404">
        <f>IF(K67,(LN(C65)-LN(C67))/F65,"")</f>
        <v>2.4278721459192769</v>
      </c>
      <c r="F67" s="427" t="s">
        <v>203</v>
      </c>
      <c r="G67" s="404">
        <f>IF(K67,IF(2*(1-NORMSDIST(ABS(E67)))&gt;=0.001,2*(1-NORMSDIST(ABS(E67))),"&lt;0.001"),"")</f>
        <v>1.5187696298414322E-2</v>
      </c>
      <c r="H67" s="106"/>
      <c r="I67" s="106"/>
      <c r="K67" t="b">
        <f>AND(K65,NOT(ISBLANK(C67)))</f>
        <v>1</v>
      </c>
    </row>
    <row r="68" spans="1:11" ht="12" customHeight="1" x14ac:dyDescent="0.2">
      <c r="A68" s="730"/>
      <c r="B68" s="730"/>
      <c r="C68" s="730"/>
      <c r="D68" s="730"/>
      <c r="E68" s="106"/>
      <c r="F68" s="106"/>
      <c r="G68" s="106"/>
      <c r="H68" s="106"/>
      <c r="I68" s="106"/>
    </row>
    <row r="69" spans="1:11" x14ac:dyDescent="0.2">
      <c r="A69" s="135" t="s">
        <v>136</v>
      </c>
      <c r="B69" s="19"/>
      <c r="C69" s="157"/>
      <c r="D69" s="19"/>
      <c r="E69" s="20"/>
      <c r="F69" s="19"/>
      <c r="G69" s="19"/>
      <c r="H69" s="106"/>
      <c r="I69" s="106"/>
    </row>
    <row r="70" spans="1:11" x14ac:dyDescent="0.2">
      <c r="B70" s="675" t="s">
        <v>4</v>
      </c>
      <c r="C70" s="677"/>
    </row>
    <row r="71" spans="1:11" x14ac:dyDescent="0.2">
      <c r="A71" s="442" t="s">
        <v>107</v>
      </c>
      <c r="B71" s="407" t="s">
        <v>6</v>
      </c>
      <c r="C71" s="155" t="s">
        <v>7</v>
      </c>
      <c r="D71" s="415" t="s">
        <v>8</v>
      </c>
      <c r="E71" s="357" t="str">
        <f>CONCATENATE("Rate per ",$D$7)</f>
        <v>Rate per 1000</v>
      </c>
      <c r="F71" s="99" t="s">
        <v>9</v>
      </c>
      <c r="G71" s="97" t="s">
        <v>2</v>
      </c>
      <c r="H71" s="100" t="s">
        <v>3</v>
      </c>
      <c r="I71" s="106"/>
    </row>
    <row r="72" spans="1:11" x14ac:dyDescent="0.2">
      <c r="A72" s="35" t="str">
        <f>"2"</f>
        <v>2</v>
      </c>
      <c r="B72" s="130">
        <f>IF(K52,SUM(B14,B22,B30,B38,B46),"")</f>
        <v>110</v>
      </c>
      <c r="C72" s="130">
        <f>IF(K52,SUM(C14,C22,C30,C38,C46),"")</f>
        <v>2465</v>
      </c>
      <c r="D72" s="196">
        <f>IF(K72,B72/C72,"")</f>
        <v>4.4624746450304259E-2</v>
      </c>
      <c r="E72" s="485">
        <f>IF(K72,$D$7*B72/C72,"")</f>
        <v>44.624746450304258</v>
      </c>
      <c r="F72" s="132">
        <f>IF(K74,D72/D73,"")</f>
        <v>1.3441927442206154</v>
      </c>
      <c r="G72" s="90"/>
      <c r="H72" s="126">
        <f>IF(K74,EXP(H74),"")</f>
        <v>1.0432283825548454</v>
      </c>
      <c r="I72" s="106"/>
      <c r="K72" t="b">
        <f>IF(K52,AND(B72&gt;0,INT(B72)=B72,C72&gt;0),FALSE)</f>
        <v>1</v>
      </c>
    </row>
    <row r="73" spans="1:11" x14ac:dyDescent="0.2">
      <c r="A73" s="29" t="str">
        <f>"1 (Ref)"</f>
        <v>1 (Ref)</v>
      </c>
      <c r="B73" s="130">
        <f>IF(K52,SUM(B15,B23,B31,B39,B47),"")</f>
        <v>131</v>
      </c>
      <c r="C73" s="130">
        <f>IF(K52,SUM(C15,C23,C31,C39,C47),"")</f>
        <v>3946</v>
      </c>
      <c r="D73" s="196">
        <f>IF(K73,B73/C73,"")</f>
        <v>3.3198175367460718E-2</v>
      </c>
      <c r="E73" s="485">
        <f>IF(K73,$D$7*B73/C73,"")</f>
        <v>33.198175367460721</v>
      </c>
      <c r="F73" s="70"/>
      <c r="G73" s="102"/>
      <c r="H73" s="128">
        <f>IF(K74,EXP(H75),"")</f>
        <v>1.7319832970709625</v>
      </c>
      <c r="I73" s="106"/>
      <c r="K73" s="429" t="b">
        <f>IF(K52,AND(B73&gt;0,INT(B73)=B73,C73&gt;0),FALSE)</f>
        <v>1</v>
      </c>
    </row>
    <row r="74" spans="1:11" x14ac:dyDescent="0.2">
      <c r="A74" s="407" t="s">
        <v>36</v>
      </c>
      <c r="B74" s="407">
        <f>IF(K52,SUM(B72:B73),"")</f>
        <v>241</v>
      </c>
      <c r="C74" s="484">
        <f>IF(K52,SUM(C72:C73),"")</f>
        <v>6411</v>
      </c>
      <c r="D74" s="129">
        <f>IF(K74,B74/C74,"")</f>
        <v>3.7591639369833098E-2</v>
      </c>
      <c r="E74" s="486">
        <f>IF(K74,$D$7*B74/C74,"")</f>
        <v>37.591639369833096</v>
      </c>
      <c r="F74" s="106">
        <f>IF(K74,LN(F72),"")</f>
        <v>0.2957936426970349</v>
      </c>
      <c r="G74" s="106">
        <f>IF(K74,SQRT(1/B72+1/B73),"")</f>
        <v>0.12932322636390042</v>
      </c>
      <c r="H74" s="106">
        <f>IF(K74,F74-1.96*G74,"")</f>
        <v>4.232011902379007E-2</v>
      </c>
      <c r="I74" s="106"/>
      <c r="K74" t="b">
        <f>AND(K72,K73)</f>
        <v>1</v>
      </c>
    </row>
    <row r="75" spans="1:11" x14ac:dyDescent="0.2">
      <c r="A75" s="119"/>
      <c r="B75" s="120"/>
      <c r="C75" s="158"/>
      <c r="D75" s="159"/>
      <c r="F75" s="150"/>
      <c r="G75" s="150"/>
      <c r="H75" s="106">
        <f>IF(K74,F74+1.96*G74,"")</f>
        <v>0.54926716637027972</v>
      </c>
      <c r="I75" s="106"/>
      <c r="J75" s="406"/>
      <c r="K75" s="406"/>
    </row>
    <row r="76" spans="1:11" x14ac:dyDescent="0.2">
      <c r="A76" s="406"/>
      <c r="B76" s="406"/>
      <c r="C76" s="4"/>
      <c r="D76" s="406"/>
      <c r="E76" s="406"/>
      <c r="F76" s="406"/>
      <c r="G76" s="406"/>
      <c r="H76" s="106"/>
      <c r="I76" s="106"/>
      <c r="J76" s="406"/>
      <c r="K76" s="406"/>
    </row>
    <row r="77" spans="1:11" x14ac:dyDescent="0.2">
      <c r="A77" s="723" t="s">
        <v>148</v>
      </c>
      <c r="B77" s="724"/>
      <c r="C77" s="492">
        <v>1</v>
      </c>
      <c r="D77" s="427" t="s">
        <v>14</v>
      </c>
      <c r="E77" s="404">
        <f>IF(K77,(F74-LN(C77))/G74,"")</f>
        <v>2.2872429880824825</v>
      </c>
      <c r="F77" s="427" t="s">
        <v>203</v>
      </c>
      <c r="G77" s="404">
        <f>IF(K77,IF(2*(1-NORMSDIST(ABS(E77)))&gt;=0.001,2*(1-NORMSDIST(ABS(E77))),"&lt;0.001"),"")</f>
        <v>2.2181644141357593E-2</v>
      </c>
      <c r="H77" s="106"/>
      <c r="I77" s="106"/>
      <c r="J77" s="406"/>
      <c r="K77" s="406" t="b">
        <f>AND(K74,NOT(ISBLANK(C77)))</f>
        <v>1</v>
      </c>
    </row>
    <row r="78" spans="1:11" x14ac:dyDescent="0.2">
      <c r="H78" s="418"/>
      <c r="I78" s="127"/>
      <c r="J78" s="406"/>
      <c r="K78" s="406"/>
    </row>
    <row r="79" spans="1:11" x14ac:dyDescent="0.2">
      <c r="H79" s="428"/>
      <c r="I79" s="156"/>
      <c r="J79" s="406"/>
      <c r="K79" s="406"/>
    </row>
    <row r="80" spans="1:11" x14ac:dyDescent="0.2">
      <c r="H80" s="19"/>
      <c r="I80" s="19"/>
      <c r="J80" s="406"/>
      <c r="K80" s="406"/>
    </row>
    <row r="81" spans="1:11" x14ac:dyDescent="0.2">
      <c r="H81" s="19"/>
      <c r="I81" s="19"/>
      <c r="J81" s="406"/>
      <c r="K81" s="406"/>
    </row>
    <row r="82" spans="1:11" x14ac:dyDescent="0.2">
      <c r="H82" s="19"/>
      <c r="I82" s="19"/>
      <c r="J82" s="406"/>
      <c r="K82" s="406"/>
    </row>
    <row r="83" spans="1:11" x14ac:dyDescent="0.2">
      <c r="H83" s="406"/>
      <c r="I83" s="406"/>
      <c r="J83" s="406"/>
      <c r="K83" s="406"/>
    </row>
    <row r="84" spans="1:11" x14ac:dyDescent="0.2">
      <c r="H84" s="406"/>
      <c r="I84" s="406"/>
      <c r="J84" s="406"/>
      <c r="K84" s="406"/>
    </row>
    <row r="85" spans="1:11" x14ac:dyDescent="0.2">
      <c r="A85" s="406"/>
      <c r="B85" s="406"/>
      <c r="C85" s="406"/>
      <c r="D85" s="406"/>
      <c r="E85" s="406"/>
      <c r="F85" s="406"/>
      <c r="G85" s="406"/>
      <c r="H85" s="406"/>
      <c r="I85" s="406"/>
      <c r="J85" s="406"/>
      <c r="K85" s="406"/>
    </row>
    <row r="86" spans="1:11" x14ac:dyDescent="0.2">
      <c r="A86" s="406"/>
      <c r="B86" s="406"/>
      <c r="C86" s="406"/>
      <c r="D86" s="406"/>
      <c r="E86" s="406"/>
      <c r="F86" s="406"/>
      <c r="G86" s="406"/>
      <c r="H86" s="406"/>
      <c r="I86" s="406"/>
      <c r="J86" s="406"/>
      <c r="K86" s="406"/>
    </row>
    <row r="87" spans="1:11" x14ac:dyDescent="0.2">
      <c r="A87" s="406"/>
      <c r="B87" s="406"/>
      <c r="C87" s="406"/>
      <c r="D87" s="406"/>
      <c r="E87" s="406"/>
      <c r="F87" s="406"/>
      <c r="G87" s="406"/>
      <c r="H87" s="406"/>
      <c r="I87" s="406"/>
      <c r="J87" s="406"/>
      <c r="K87" s="406"/>
    </row>
    <row r="88" spans="1:11" x14ac:dyDescent="0.2">
      <c r="A88" s="406"/>
      <c r="B88" s="406"/>
      <c r="C88" s="406"/>
      <c r="D88" s="406"/>
      <c r="E88" s="406"/>
      <c r="F88" s="406"/>
      <c r="G88" s="406"/>
      <c r="H88" s="406"/>
      <c r="I88" s="406"/>
      <c r="J88" s="406"/>
      <c r="K88" s="406"/>
    </row>
    <row r="89" spans="1:11" x14ac:dyDescent="0.2">
      <c r="A89" s="406"/>
      <c r="B89" s="406"/>
      <c r="C89" s="406"/>
      <c r="D89" s="406"/>
      <c r="E89" s="406"/>
      <c r="F89" s="406"/>
      <c r="G89" s="406"/>
      <c r="H89" s="406"/>
      <c r="I89" s="406"/>
      <c r="J89" s="406"/>
      <c r="K89" s="406"/>
    </row>
  </sheetData>
  <sheetProtection sheet="1" formatCells="0" formatColumns="0" formatRows="0"/>
  <mergeCells count="19">
    <mergeCell ref="B70:C70"/>
    <mergeCell ref="A77:B77"/>
    <mergeCell ref="B27:G27"/>
    <mergeCell ref="A61:D61"/>
    <mergeCell ref="A68:D68"/>
    <mergeCell ref="A58:B58"/>
    <mergeCell ref="D62:E62"/>
    <mergeCell ref="A67:B67"/>
    <mergeCell ref="B28:C28"/>
    <mergeCell ref="B35:G35"/>
    <mergeCell ref="B36:C36"/>
    <mergeCell ref="B43:G43"/>
    <mergeCell ref="B44:C44"/>
    <mergeCell ref="B12:C12"/>
    <mergeCell ref="B19:G19"/>
    <mergeCell ref="B20:C20"/>
    <mergeCell ref="A2:D2"/>
    <mergeCell ref="A5:G5"/>
    <mergeCell ref="B11:G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70"/>
  <sheetViews>
    <sheetView workbookViewId="0"/>
  </sheetViews>
  <sheetFormatPr defaultRowHeight="12.75" x14ac:dyDescent="0.2"/>
  <cols>
    <col min="1" max="5" width="8.7109375" customWidth="1"/>
    <col min="6" max="6" width="8.7109375" style="9" customWidth="1"/>
    <col min="7" max="9" width="8.7109375" customWidth="1"/>
    <col min="10" max="11" width="12" hidden="1" customWidth="1"/>
    <col min="12" max="12" width="12.5703125" hidden="1" customWidth="1"/>
    <col min="13" max="14" width="12" hidden="1" customWidth="1"/>
    <col min="15" max="15" width="8.85546875" hidden="1" customWidth="1"/>
    <col min="16" max="16" width="4.5703125" hidden="1" customWidth="1"/>
    <col min="17" max="19" width="7" hidden="1" customWidth="1"/>
    <col min="20" max="20" width="6.5703125" hidden="1" customWidth="1"/>
  </cols>
  <sheetData>
    <row r="1" spans="1:20" ht="12.75" customHeight="1" x14ac:dyDescent="0.2">
      <c r="A1" s="7" t="s">
        <v>245</v>
      </c>
      <c r="B1" s="7"/>
      <c r="I1" s="326"/>
    </row>
    <row r="2" spans="1:20" ht="12.75" customHeight="1" x14ac:dyDescent="0.2">
      <c r="A2" s="725" t="s">
        <v>217</v>
      </c>
      <c r="B2" s="725"/>
      <c r="C2" s="725"/>
      <c r="D2" s="725"/>
      <c r="E2" s="725"/>
      <c r="F2" s="7"/>
      <c r="G2" s="7"/>
      <c r="I2" s="326"/>
    </row>
    <row r="3" spans="1:20" ht="12.75" customHeight="1" x14ac:dyDescent="0.2">
      <c r="A3" s="7"/>
      <c r="B3" s="7"/>
    </row>
    <row r="4" spans="1:20" ht="12.75" customHeight="1" x14ac:dyDescent="0.2">
      <c r="A4" s="439" t="s">
        <v>146</v>
      </c>
      <c r="B4" s="440"/>
      <c r="C4" s="440"/>
      <c r="D4" s="440"/>
      <c r="E4" s="440"/>
      <c r="F4" s="440"/>
      <c r="G4" s="440"/>
      <c r="H4" s="440"/>
      <c r="I4" s="441"/>
    </row>
    <row r="5" spans="1:20" ht="12.75" customHeight="1" x14ac:dyDescent="0.2">
      <c r="A5" s="693" t="s">
        <v>82</v>
      </c>
      <c r="B5" s="694"/>
      <c r="C5" s="694"/>
      <c r="D5" s="694"/>
      <c r="E5" s="694"/>
      <c r="F5" s="694"/>
      <c r="G5" s="694"/>
      <c r="H5" s="694"/>
      <c r="I5" s="695"/>
    </row>
    <row r="6" spans="1:20" ht="12.75" customHeight="1" x14ac:dyDescent="0.2"/>
    <row r="7" spans="1:20" ht="12.75" customHeight="1" x14ac:dyDescent="0.2">
      <c r="A7" s="442" t="s">
        <v>92</v>
      </c>
      <c r="B7" s="20"/>
      <c r="C7" s="19"/>
      <c r="D7" s="19"/>
      <c r="E7" s="19"/>
      <c r="F7" s="19"/>
      <c r="G7" s="19"/>
      <c r="H7" s="135"/>
      <c r="I7" s="135"/>
    </row>
    <row r="8" spans="1:20" ht="12.75" customHeight="1" x14ac:dyDescent="0.2">
      <c r="A8" s="488">
        <v>1</v>
      </c>
      <c r="B8" s="727" t="s">
        <v>84</v>
      </c>
      <c r="C8" s="728"/>
      <c r="D8" s="729"/>
      <c r="E8" s="19"/>
      <c r="F8" s="19"/>
      <c r="G8" s="19"/>
      <c r="H8" s="19"/>
      <c r="I8" s="19"/>
    </row>
    <row r="9" spans="1:20" ht="12.75" customHeight="1" x14ac:dyDescent="0.2">
      <c r="B9" s="675" t="s">
        <v>4</v>
      </c>
      <c r="C9" s="677"/>
    </row>
    <row r="10" spans="1:20" ht="12.75" customHeight="1" x14ac:dyDescent="0.2">
      <c r="A10" s="442" t="s">
        <v>107</v>
      </c>
      <c r="B10" s="21" t="s">
        <v>0</v>
      </c>
      <c r="C10" s="23" t="s">
        <v>182</v>
      </c>
      <c r="D10" s="22" t="s">
        <v>36</v>
      </c>
      <c r="E10" s="34" t="s">
        <v>39</v>
      </c>
      <c r="F10" s="101" t="s">
        <v>40</v>
      </c>
      <c r="G10" s="139" t="s">
        <v>1</v>
      </c>
      <c r="H10" s="140" t="s">
        <v>2</v>
      </c>
      <c r="I10" s="141" t="s">
        <v>12</v>
      </c>
      <c r="J10" s="2" t="s">
        <v>18</v>
      </c>
      <c r="K10" s="5" t="s">
        <v>19</v>
      </c>
      <c r="L10" s="5" t="s">
        <v>20</v>
      </c>
      <c r="M10" s="5" t="s">
        <v>21</v>
      </c>
      <c r="N10" s="5" t="s">
        <v>25</v>
      </c>
      <c r="O10" s="5" t="s">
        <v>37</v>
      </c>
      <c r="P10" s="5" t="s">
        <v>35</v>
      </c>
      <c r="Q10" s="5" t="s">
        <v>42</v>
      </c>
      <c r="R10" s="5" t="s">
        <v>41</v>
      </c>
      <c r="S10" s="5" t="s">
        <v>43</v>
      </c>
    </row>
    <row r="11" spans="1:20" ht="12.75" customHeight="1" x14ac:dyDescent="0.2">
      <c r="A11" s="35" t="str">
        <f>"2"</f>
        <v>2</v>
      </c>
      <c r="B11" s="88">
        <v>3</v>
      </c>
      <c r="C11" s="89">
        <v>104</v>
      </c>
      <c r="D11" s="35">
        <f>SUM(B11:C11)</f>
        <v>107</v>
      </c>
      <c r="E11" s="136">
        <f>IF(D13&gt;0,B11*C12/D13,"")</f>
        <v>2.7038297872340427</v>
      </c>
      <c r="F11" s="137">
        <f>IF(D13&gt;0,C11*B12/D13,"")</f>
        <v>0.79659574468085104</v>
      </c>
      <c r="G11" s="142">
        <f>IF(F11="","",E11/F11)</f>
        <v>3.3942307692307696</v>
      </c>
      <c r="H11" s="143"/>
      <c r="I11" s="144">
        <f>IF(I13="","",EXP(I13))</f>
        <v>0.90481832300532095</v>
      </c>
      <c r="J11" s="1">
        <f>(B11+C12)/D13</f>
        <v>0.9038297872340425</v>
      </c>
      <c r="K11" s="1">
        <f>(B12+C11)/D13</f>
        <v>9.6170212765957441E-2</v>
      </c>
      <c r="L11" s="429">
        <f>E11*J11</f>
        <v>2.4438019013128112</v>
      </c>
      <c r="M11" s="429">
        <f>F11*K11</f>
        <v>7.6608782254413754E-2</v>
      </c>
      <c r="N11" s="429">
        <f>E11*K11+F11*J11</f>
        <v>0.9800148483476685</v>
      </c>
      <c r="O11" s="16">
        <f>((G13-$G$60)/H13)^2</f>
        <v>2.5614490453722896E-2</v>
      </c>
      <c r="P11" s="17">
        <f>IF(D13&gt;0,1,0)</f>
        <v>1</v>
      </c>
      <c r="Q11" s="6">
        <f>D11*B13/D13</f>
        <v>1.0927659574468085</v>
      </c>
      <c r="R11" s="6">
        <f>B11-Q11</f>
        <v>1.9072340425531915</v>
      </c>
      <c r="S11" s="6">
        <f>B13*C13*D11*D12/D13^2/(D13-1)</f>
        <v>0.98394803109163931</v>
      </c>
      <c r="T11" s="429"/>
    </row>
    <row r="12" spans="1:20" ht="12.75" customHeight="1" x14ac:dyDescent="0.2">
      <c r="A12" s="29" t="str">
        <f>"1 (Ref)"</f>
        <v>1 (Ref)</v>
      </c>
      <c r="B12" s="93">
        <v>9</v>
      </c>
      <c r="C12" s="94">
        <v>1059</v>
      </c>
      <c r="D12" s="35">
        <f>SUM(B12:C12)</f>
        <v>1068</v>
      </c>
      <c r="E12" s="34"/>
      <c r="F12" s="81"/>
      <c r="G12" s="145"/>
      <c r="H12" s="146"/>
      <c r="I12" s="147">
        <f>IF(I14="","",EXP(I14))</f>
        <v>12.732724594399219</v>
      </c>
      <c r="J12" s="1"/>
      <c r="K12" s="1"/>
      <c r="L12" s="429"/>
      <c r="M12" s="429"/>
      <c r="N12" s="429"/>
      <c r="O12" s="429"/>
      <c r="P12" s="429"/>
      <c r="Q12" s="429"/>
      <c r="R12" s="15"/>
      <c r="S12" s="429"/>
      <c r="T12" s="429"/>
    </row>
    <row r="13" spans="1:20" ht="12.75" customHeight="1" x14ac:dyDescent="0.2">
      <c r="A13" s="430" t="s">
        <v>36</v>
      </c>
      <c r="B13" s="430">
        <f>SUM(B11:B12)</f>
        <v>12</v>
      </c>
      <c r="C13" s="432">
        <f>SUM(C11:C12)</f>
        <v>1163</v>
      </c>
      <c r="D13" s="442">
        <f>SUM(B13:C13)</f>
        <v>1175</v>
      </c>
      <c r="E13" s="34"/>
      <c r="F13" s="106"/>
      <c r="G13" s="148">
        <f>IF(G11="","",LN(G11))</f>
        <v>1.2220771577919243</v>
      </c>
      <c r="H13" s="148">
        <f>IF(D13=0,"",SQRT(1/B11+1/B12+1/C11+1/C12))</f>
        <v>0.67453992922813422</v>
      </c>
      <c r="I13" s="148">
        <f>IF(G13="","",G13-1.96*H13)</f>
        <v>-0.10002110349521875</v>
      </c>
      <c r="J13" s="8"/>
      <c r="K13" s="8"/>
      <c r="L13" s="429"/>
      <c r="M13" s="429"/>
      <c r="N13" s="429"/>
      <c r="O13" s="429"/>
      <c r="P13" s="429"/>
      <c r="Q13" s="429"/>
      <c r="R13" s="429"/>
      <c r="S13" s="429"/>
      <c r="T13" s="429"/>
    </row>
    <row r="14" spans="1:20" ht="12.75" customHeight="1" x14ac:dyDescent="0.2">
      <c r="A14" s="119"/>
      <c r="B14" s="120"/>
      <c r="C14" s="120"/>
      <c r="D14" s="32"/>
      <c r="E14" s="32"/>
      <c r="F14" s="106"/>
      <c r="G14" s="148"/>
      <c r="H14" s="148"/>
      <c r="I14" s="148">
        <f>IF(G13="","",G13+1.96*H13)</f>
        <v>2.5441754190790675</v>
      </c>
      <c r="J14" s="8"/>
      <c r="K14" s="8"/>
      <c r="L14" s="429"/>
      <c r="M14" s="429"/>
      <c r="N14" s="429"/>
      <c r="O14" s="429"/>
      <c r="P14" s="429"/>
      <c r="Q14" s="429"/>
      <c r="R14" s="429"/>
      <c r="S14" s="429"/>
      <c r="T14" s="429"/>
    </row>
    <row r="15" spans="1:20" ht="12.75" customHeight="1" x14ac:dyDescent="0.2">
      <c r="A15" s="442" t="s">
        <v>92</v>
      </c>
    </row>
    <row r="16" spans="1:20" ht="12.75" customHeight="1" x14ac:dyDescent="0.2">
      <c r="A16" s="488">
        <v>2</v>
      </c>
      <c r="B16" s="727" t="s">
        <v>83</v>
      </c>
      <c r="C16" s="728"/>
      <c r="D16" s="729"/>
      <c r="E16" s="32"/>
      <c r="F16" s="32"/>
      <c r="G16" s="149"/>
      <c r="H16" s="149"/>
      <c r="I16" s="149"/>
      <c r="J16" s="1"/>
      <c r="K16" s="1"/>
      <c r="L16" s="429"/>
      <c r="M16" s="429"/>
      <c r="N16" s="429"/>
      <c r="O16" s="429"/>
      <c r="P16" s="429"/>
      <c r="Q16" s="429"/>
      <c r="R16" s="429"/>
      <c r="S16" s="429"/>
      <c r="T16" s="429"/>
    </row>
    <row r="17" spans="1:20" ht="12.75" customHeight="1" x14ac:dyDescent="0.2">
      <c r="A17" s="429"/>
      <c r="B17" s="675" t="s">
        <v>4</v>
      </c>
      <c r="C17" s="677"/>
    </row>
    <row r="18" spans="1:20" ht="12.75" customHeight="1" x14ac:dyDescent="0.2">
      <c r="A18" s="442" t="s">
        <v>107</v>
      </c>
      <c r="B18" s="430" t="s">
        <v>0</v>
      </c>
      <c r="C18" s="432" t="s">
        <v>182</v>
      </c>
      <c r="D18" s="442" t="s">
        <v>36</v>
      </c>
      <c r="E18" s="34" t="s">
        <v>39</v>
      </c>
      <c r="F18" s="417" t="s">
        <v>40</v>
      </c>
      <c r="G18" s="139" t="s">
        <v>1</v>
      </c>
      <c r="H18" s="140" t="s">
        <v>2</v>
      </c>
      <c r="I18" s="141" t="s">
        <v>12</v>
      </c>
      <c r="J18" s="2"/>
      <c r="K18" s="5"/>
      <c r="L18" s="429"/>
      <c r="M18" s="429"/>
      <c r="N18" s="429"/>
      <c r="O18" s="429"/>
      <c r="P18" s="429"/>
      <c r="Q18" s="429"/>
      <c r="R18" s="429"/>
      <c r="S18" s="429"/>
      <c r="T18" s="429"/>
    </row>
    <row r="19" spans="1:20" ht="12.75" customHeight="1" x14ac:dyDescent="0.2">
      <c r="A19" s="35" t="str">
        <f>"2"</f>
        <v>2</v>
      </c>
      <c r="B19" s="88">
        <v>1</v>
      </c>
      <c r="C19" s="89">
        <v>5</v>
      </c>
      <c r="D19" s="35">
        <f>SUM(B19:C19)</f>
        <v>6</v>
      </c>
      <c r="E19" s="136">
        <f>IF(D21&gt;0,B19*C20/D21,"")</f>
        <v>0.90526315789473688</v>
      </c>
      <c r="F19" s="137">
        <f>IF(D21&gt;0,C19*B20/D21,"")</f>
        <v>0.15789473684210525</v>
      </c>
      <c r="G19" s="142">
        <f>IF(F19="","",E19/F19)</f>
        <v>5.7333333333333343</v>
      </c>
      <c r="H19" s="143"/>
      <c r="I19" s="144">
        <f>IF(I21="","",EXP(I21))</f>
        <v>0.5016193505282962</v>
      </c>
      <c r="J19" s="1">
        <f>(B19+C20)/D21</f>
        <v>0.91578947368421049</v>
      </c>
      <c r="K19" s="1">
        <f>(B20+C19)/D21</f>
        <v>8.4210526315789472E-2</v>
      </c>
      <c r="L19" s="429">
        <f>E19*J19</f>
        <v>0.8290304709141274</v>
      </c>
      <c r="M19" s="429">
        <f>F19*K19</f>
        <v>1.3296398891966758E-2</v>
      </c>
      <c r="N19" s="429">
        <f>E19*K19+F19*J19</f>
        <v>0.22083102493074791</v>
      </c>
      <c r="O19" s="16">
        <f>((G21-$G$60)/H21)^2</f>
        <v>0.11215484721465112</v>
      </c>
      <c r="P19" s="17">
        <f>IF(D21&gt;0,1,0)</f>
        <v>1</v>
      </c>
      <c r="Q19" s="6">
        <f>D19*B21/D21</f>
        <v>0.25263157894736843</v>
      </c>
      <c r="R19" s="6">
        <f>B19-Q19</f>
        <v>0.74736842105263157</v>
      </c>
      <c r="S19" s="6">
        <f>B21*C21*D19*D20/D21^2/(D21-1)</f>
        <v>0.22912241409795486</v>
      </c>
      <c r="T19" s="429"/>
    </row>
    <row r="20" spans="1:20" ht="12.75" customHeight="1" x14ac:dyDescent="0.2">
      <c r="A20" s="29" t="str">
        <f>"1 (Ref)"</f>
        <v>1 (Ref)</v>
      </c>
      <c r="B20" s="93">
        <v>3</v>
      </c>
      <c r="C20" s="94">
        <v>86</v>
      </c>
      <c r="D20" s="35">
        <f>SUM(B20:C20)</f>
        <v>89</v>
      </c>
      <c r="E20" s="34"/>
      <c r="F20" s="81"/>
      <c r="G20" s="145"/>
      <c r="H20" s="146"/>
      <c r="I20" s="147">
        <f>IF(I22="","",EXP(I22))</f>
        <v>65.529990173807846</v>
      </c>
      <c r="J20" s="1"/>
      <c r="K20" s="1"/>
      <c r="L20" s="429"/>
      <c r="M20" s="429"/>
      <c r="N20" s="429"/>
      <c r="O20" s="429"/>
      <c r="P20" s="429"/>
      <c r="Q20" s="429"/>
      <c r="R20" s="429"/>
      <c r="S20" s="429"/>
      <c r="T20" s="429"/>
    </row>
    <row r="21" spans="1:20" ht="12.75" customHeight="1" x14ac:dyDescent="0.2">
      <c r="A21" s="430" t="s">
        <v>36</v>
      </c>
      <c r="B21" s="430">
        <f>SUM(B19:B20)</f>
        <v>4</v>
      </c>
      <c r="C21" s="432">
        <f>SUM(C19:C20)</f>
        <v>91</v>
      </c>
      <c r="D21" s="442">
        <f>SUM(B21:C21)</f>
        <v>95</v>
      </c>
      <c r="E21" s="34"/>
      <c r="F21" s="106"/>
      <c r="G21" s="148">
        <f>IF(G19="","",LN(G19))</f>
        <v>1.7462970951512979</v>
      </c>
      <c r="H21" s="148">
        <f>IF(D21=0,"",SQRT(1/B19+1/B20+1/C19+1/C20))</f>
        <v>1.2429646979339668</v>
      </c>
      <c r="I21" s="148">
        <f>IF(G21="","",G21-1.96*H21)</f>
        <v>-0.68991371279927693</v>
      </c>
      <c r="J21" s="8"/>
      <c r="K21" s="8"/>
      <c r="L21" s="429"/>
      <c r="M21" s="429"/>
      <c r="N21" s="429"/>
      <c r="O21" s="429"/>
      <c r="P21" s="429"/>
      <c r="Q21" s="429"/>
      <c r="R21" s="429"/>
      <c r="S21" s="429"/>
      <c r="T21" s="429"/>
    </row>
    <row r="22" spans="1:20" ht="12.75" customHeight="1" x14ac:dyDescent="0.2">
      <c r="A22" s="119"/>
      <c r="B22" s="120"/>
      <c r="C22" s="120"/>
      <c r="D22" s="32"/>
      <c r="E22" s="32"/>
      <c r="F22" s="106"/>
      <c r="G22" s="148"/>
      <c r="H22" s="148"/>
      <c r="I22" s="148">
        <f>IF(G21="","",G21+1.96*H21)</f>
        <v>4.1825079031018726</v>
      </c>
      <c r="J22" s="8"/>
      <c r="K22" s="8"/>
      <c r="L22" s="429"/>
      <c r="M22" s="429"/>
      <c r="N22" s="429"/>
      <c r="O22" s="429"/>
      <c r="P22" s="429"/>
      <c r="Q22" s="429"/>
      <c r="R22" s="429"/>
      <c r="S22" s="429"/>
      <c r="T22" s="429"/>
    </row>
    <row r="23" spans="1:20" ht="12.75" customHeight="1" x14ac:dyDescent="0.2">
      <c r="A23" s="442" t="s">
        <v>92</v>
      </c>
    </row>
    <row r="24" spans="1:20" ht="12.75" customHeight="1" x14ac:dyDescent="0.2">
      <c r="A24" s="488">
        <v>3</v>
      </c>
      <c r="B24" s="727"/>
      <c r="C24" s="728"/>
      <c r="D24" s="729"/>
      <c r="E24" s="32"/>
      <c r="F24" s="32"/>
      <c r="G24" s="149"/>
      <c r="H24" s="149"/>
      <c r="I24" s="149"/>
      <c r="J24" s="1"/>
      <c r="K24" s="1"/>
      <c r="L24" s="429"/>
      <c r="M24" s="429"/>
      <c r="N24" s="429"/>
      <c r="O24" s="429"/>
      <c r="P24" s="429"/>
      <c r="Q24" s="429"/>
      <c r="R24" s="429"/>
      <c r="S24" s="429"/>
      <c r="T24" s="429"/>
    </row>
    <row r="25" spans="1:20" ht="12.75" customHeight="1" x14ac:dyDescent="0.2">
      <c r="A25" s="429"/>
      <c r="B25" s="675" t="s">
        <v>4</v>
      </c>
      <c r="C25" s="677"/>
    </row>
    <row r="26" spans="1:20" ht="12.75" customHeight="1" x14ac:dyDescent="0.2">
      <c r="A26" s="442" t="s">
        <v>107</v>
      </c>
      <c r="B26" s="654" t="s">
        <v>0</v>
      </c>
      <c r="C26" s="655" t="s">
        <v>182</v>
      </c>
      <c r="D26" s="442" t="s">
        <v>36</v>
      </c>
      <c r="E26" s="34" t="s">
        <v>39</v>
      </c>
      <c r="F26" s="417" t="s">
        <v>40</v>
      </c>
      <c r="G26" s="139" t="s">
        <v>1</v>
      </c>
      <c r="H26" s="140" t="s">
        <v>2</v>
      </c>
      <c r="I26" s="141" t="s">
        <v>12</v>
      </c>
      <c r="J26" s="2"/>
      <c r="K26" s="5"/>
      <c r="L26" s="429"/>
      <c r="M26" s="429"/>
      <c r="N26" s="429"/>
      <c r="O26" s="429"/>
      <c r="P26" s="429"/>
      <c r="Q26" s="429"/>
      <c r="R26" s="429"/>
      <c r="S26" s="429"/>
      <c r="T26" s="429"/>
    </row>
    <row r="27" spans="1:20" ht="12.75" customHeight="1" x14ac:dyDescent="0.2">
      <c r="A27" s="35" t="str">
        <f>"2"</f>
        <v>2</v>
      </c>
      <c r="B27" s="88"/>
      <c r="C27" s="89"/>
      <c r="D27" s="35">
        <f>SUM(B27:C27)</f>
        <v>0</v>
      </c>
      <c r="E27" s="136" t="str">
        <f>IF(D29&gt;0,B27*C28/D29,"")</f>
        <v/>
      </c>
      <c r="F27" s="137" t="str">
        <f>IF(D29&gt;0,C27*B28/D29,"")</f>
        <v/>
      </c>
      <c r="G27" s="142" t="str">
        <f>IF(F27="","",E27/F27)</f>
        <v/>
      </c>
      <c r="H27" s="143"/>
      <c r="I27" s="144" t="str">
        <f>IF(I29="","",EXP(I29))</f>
        <v/>
      </c>
      <c r="J27" s="1" t="e">
        <f>(B27+C28)/D29</f>
        <v>#DIV/0!</v>
      </c>
      <c r="K27" s="1" t="e">
        <f>(B28+C27)/D29</f>
        <v>#DIV/0!</v>
      </c>
      <c r="L27" s="429" t="e">
        <f>E27*J27</f>
        <v>#VALUE!</v>
      </c>
      <c r="M27" s="429" t="e">
        <f>F27*K27</f>
        <v>#VALUE!</v>
      </c>
      <c r="N27" s="429" t="e">
        <f>E27*K27+F27*J27</f>
        <v>#VALUE!</v>
      </c>
      <c r="O27" s="16" t="e">
        <f>((G29-$G$60)/H29)^2</f>
        <v>#VALUE!</v>
      </c>
      <c r="P27" s="17">
        <f>IF(D29&gt;0,1,0)</f>
        <v>0</v>
      </c>
      <c r="Q27" s="6" t="e">
        <f>D27*B29/D29</f>
        <v>#DIV/0!</v>
      </c>
      <c r="R27" s="6" t="e">
        <f>B27-Q27</f>
        <v>#DIV/0!</v>
      </c>
      <c r="S27" s="6" t="e">
        <f>B29*C29*D27*D28/D29^2/(D29-1)</f>
        <v>#DIV/0!</v>
      </c>
      <c r="T27" s="429"/>
    </row>
    <row r="28" spans="1:20" ht="12.75" customHeight="1" x14ac:dyDescent="0.2">
      <c r="A28" s="29" t="str">
        <f>"1 (Ref)"</f>
        <v>1 (Ref)</v>
      </c>
      <c r="B28" s="93"/>
      <c r="C28" s="94"/>
      <c r="D28" s="35">
        <f>SUM(B28:C28)</f>
        <v>0</v>
      </c>
      <c r="E28" s="34"/>
      <c r="F28" s="81"/>
      <c r="G28" s="145"/>
      <c r="H28" s="146"/>
      <c r="I28" s="147" t="str">
        <f>IF(I30="","",EXP(I30))</f>
        <v/>
      </c>
      <c r="J28" s="1"/>
      <c r="K28" s="1"/>
      <c r="L28" s="429"/>
      <c r="M28" s="429"/>
      <c r="N28" s="429"/>
      <c r="O28" s="429"/>
      <c r="P28" s="429"/>
      <c r="Q28" s="429"/>
      <c r="R28" s="429"/>
      <c r="S28" s="429"/>
      <c r="T28" s="429"/>
    </row>
    <row r="29" spans="1:20" ht="12.75" customHeight="1" x14ac:dyDescent="0.2">
      <c r="A29" s="430" t="s">
        <v>36</v>
      </c>
      <c r="B29" s="430">
        <f>SUM(B27:B28)</f>
        <v>0</v>
      </c>
      <c r="C29" s="432">
        <f>SUM(C27:C28)</f>
        <v>0</v>
      </c>
      <c r="D29" s="442">
        <f>SUM(B29:C29)</f>
        <v>0</v>
      </c>
      <c r="E29" s="34"/>
      <c r="F29" s="106"/>
      <c r="G29" s="148" t="str">
        <f>IF(G27="","",LN(G27))</f>
        <v/>
      </c>
      <c r="H29" s="148" t="str">
        <f>IF(D29=0,"",SQRT(1/B27+1/B28+1/C27+1/C28))</f>
        <v/>
      </c>
      <c r="I29" s="148" t="str">
        <f>IF(G29="","",G29-1.96*H29)</f>
        <v/>
      </c>
      <c r="J29" s="8"/>
      <c r="K29" s="8"/>
      <c r="L29" s="429"/>
      <c r="M29" s="429"/>
      <c r="N29" s="429"/>
      <c r="O29" s="429"/>
      <c r="P29" s="429"/>
      <c r="Q29" s="429"/>
      <c r="R29" s="429"/>
      <c r="S29" s="429"/>
      <c r="T29" s="429"/>
    </row>
    <row r="30" spans="1:20" ht="12.75" customHeight="1" x14ac:dyDescent="0.2">
      <c r="A30" s="119"/>
      <c r="B30" s="120"/>
      <c r="C30" s="120"/>
      <c r="D30" s="32"/>
      <c r="E30" s="32"/>
      <c r="F30" s="106"/>
      <c r="G30" s="148"/>
      <c r="H30" s="148"/>
      <c r="I30" s="148" t="str">
        <f>IF(G29="","",G29+1.96*H29)</f>
        <v/>
      </c>
      <c r="J30" s="8"/>
      <c r="K30" s="8"/>
      <c r="L30" s="429"/>
      <c r="M30" s="429"/>
      <c r="N30" s="429"/>
      <c r="O30" s="429"/>
      <c r="P30" s="429"/>
      <c r="Q30" s="429"/>
      <c r="R30" s="429"/>
      <c r="S30" s="429"/>
      <c r="T30" s="429"/>
    </row>
    <row r="31" spans="1:20" ht="12.75" customHeight="1" x14ac:dyDescent="0.2">
      <c r="A31" s="442" t="s">
        <v>92</v>
      </c>
    </row>
    <row r="32" spans="1:20" ht="12.75" customHeight="1" x14ac:dyDescent="0.2">
      <c r="A32" s="488">
        <v>4</v>
      </c>
      <c r="B32" s="727"/>
      <c r="C32" s="728"/>
      <c r="D32" s="729"/>
      <c r="E32" s="32"/>
      <c r="F32" s="32"/>
      <c r="G32" s="149"/>
      <c r="H32" s="149"/>
      <c r="I32" s="149"/>
      <c r="J32" s="1"/>
      <c r="K32" s="1"/>
      <c r="L32" s="429"/>
      <c r="M32" s="429"/>
      <c r="N32" s="429"/>
      <c r="O32" s="429"/>
      <c r="P32" s="429"/>
      <c r="Q32" s="429"/>
      <c r="R32" s="429"/>
      <c r="S32" s="429"/>
      <c r="T32" s="429"/>
    </row>
    <row r="33" spans="1:20" ht="12.75" customHeight="1" x14ac:dyDescent="0.2">
      <c r="A33" s="429"/>
      <c r="B33" s="675" t="s">
        <v>4</v>
      </c>
      <c r="C33" s="677"/>
    </row>
    <row r="34" spans="1:20" ht="12.75" customHeight="1" x14ac:dyDescent="0.2">
      <c r="A34" s="442" t="s">
        <v>107</v>
      </c>
      <c r="B34" s="654" t="s">
        <v>0</v>
      </c>
      <c r="C34" s="655" t="s">
        <v>182</v>
      </c>
      <c r="D34" s="442" t="s">
        <v>36</v>
      </c>
      <c r="E34" s="34" t="s">
        <v>39</v>
      </c>
      <c r="F34" s="417" t="s">
        <v>40</v>
      </c>
      <c r="G34" s="139" t="s">
        <v>1</v>
      </c>
      <c r="H34" s="140" t="s">
        <v>2</v>
      </c>
      <c r="I34" s="141" t="s">
        <v>12</v>
      </c>
      <c r="J34" s="2"/>
      <c r="K34" s="5"/>
      <c r="L34" s="429"/>
      <c r="M34" s="429"/>
      <c r="N34" s="429"/>
      <c r="O34" s="429"/>
      <c r="P34" s="429"/>
      <c r="Q34" s="429"/>
      <c r="R34" s="429"/>
      <c r="S34" s="429"/>
      <c r="T34" s="429"/>
    </row>
    <row r="35" spans="1:20" ht="12.75" customHeight="1" x14ac:dyDescent="0.2">
      <c r="A35" s="35" t="str">
        <f>"2"</f>
        <v>2</v>
      </c>
      <c r="B35" s="88"/>
      <c r="C35" s="89"/>
      <c r="D35" s="35">
        <f>SUM(B35:C35)</f>
        <v>0</v>
      </c>
      <c r="E35" s="136" t="str">
        <f>IF(D37&gt;0,B35*C36/D37,"")</f>
        <v/>
      </c>
      <c r="F35" s="137" t="str">
        <f>IF(D37&gt;0,C35*B36/D37,"")</f>
        <v/>
      </c>
      <c r="G35" s="142" t="str">
        <f>IF(F35="","",E35/F35)</f>
        <v/>
      </c>
      <c r="H35" s="143"/>
      <c r="I35" s="144" t="str">
        <f>IF(I37="","",EXP(I37))</f>
        <v/>
      </c>
      <c r="J35" s="1" t="e">
        <f>(B35+C36)/D37</f>
        <v>#DIV/0!</v>
      </c>
      <c r="K35" s="1" t="e">
        <f>(B36+C35)/D37</f>
        <v>#DIV/0!</v>
      </c>
      <c r="L35" s="429" t="e">
        <f>E35*J35</f>
        <v>#VALUE!</v>
      </c>
      <c r="M35" s="429" t="e">
        <f>F35*K35</f>
        <v>#VALUE!</v>
      </c>
      <c r="N35" s="429" t="e">
        <f>E35*K35+F35*J35</f>
        <v>#VALUE!</v>
      </c>
      <c r="O35" s="16" t="e">
        <f>((G37-$G$60)/H37)^2</f>
        <v>#VALUE!</v>
      </c>
      <c r="P35" s="17">
        <f>IF(D37&gt;0,1,0)</f>
        <v>0</v>
      </c>
      <c r="Q35" s="6" t="e">
        <f>D35*B37/D37</f>
        <v>#DIV/0!</v>
      </c>
      <c r="R35" s="6" t="e">
        <f>B35-Q35</f>
        <v>#DIV/0!</v>
      </c>
      <c r="S35" s="6" t="e">
        <f>B37*C37*D35*D36/D37^2/(D37-1)</f>
        <v>#DIV/0!</v>
      </c>
      <c r="T35" s="429"/>
    </row>
    <row r="36" spans="1:20" ht="12.75" customHeight="1" x14ac:dyDescent="0.2">
      <c r="A36" s="29" t="str">
        <f>"1 (Ref)"</f>
        <v>1 (Ref)</v>
      </c>
      <c r="B36" s="93"/>
      <c r="C36" s="94"/>
      <c r="D36" s="35">
        <f>SUM(B36:C36)</f>
        <v>0</v>
      </c>
      <c r="E36" s="34"/>
      <c r="F36" s="81"/>
      <c r="G36" s="145"/>
      <c r="H36" s="146"/>
      <c r="I36" s="147" t="str">
        <f>IF(I38="","",EXP(I38))</f>
        <v/>
      </c>
      <c r="J36" s="1"/>
      <c r="K36" s="1"/>
      <c r="L36" s="429"/>
      <c r="M36" s="429"/>
      <c r="N36" s="429"/>
      <c r="O36" s="429"/>
      <c r="P36" s="429"/>
      <c r="Q36" s="429"/>
      <c r="R36" s="429"/>
      <c r="S36" s="429"/>
      <c r="T36" s="429"/>
    </row>
    <row r="37" spans="1:20" ht="12.75" customHeight="1" x14ac:dyDescent="0.2">
      <c r="A37" s="430" t="s">
        <v>36</v>
      </c>
      <c r="B37" s="430">
        <f>SUM(B35:B36)</f>
        <v>0</v>
      </c>
      <c r="C37" s="432">
        <f>SUM(C35:C36)</f>
        <v>0</v>
      </c>
      <c r="D37" s="442">
        <f>SUM(B37:C37)</f>
        <v>0</v>
      </c>
      <c r="E37" s="34"/>
      <c r="F37" s="106"/>
      <c r="G37" s="148" t="str">
        <f>IF(G35="","",LN(G35))</f>
        <v/>
      </c>
      <c r="H37" s="148" t="str">
        <f>IF(D37=0,"",SQRT(1/B35+1/B36+1/C35+1/C36))</f>
        <v/>
      </c>
      <c r="I37" s="148" t="str">
        <f>IF(G37="","",G37-1.96*H37)</f>
        <v/>
      </c>
      <c r="J37" s="8"/>
      <c r="K37" s="8"/>
      <c r="L37" s="429"/>
      <c r="M37" s="429"/>
      <c r="N37" s="429"/>
      <c r="O37" s="429"/>
      <c r="P37" s="429"/>
      <c r="Q37" s="429"/>
      <c r="R37" s="429"/>
      <c r="S37" s="429"/>
      <c r="T37" s="429"/>
    </row>
    <row r="38" spans="1:20" ht="12.75" customHeight="1" x14ac:dyDescent="0.2">
      <c r="A38" s="119"/>
      <c r="B38" s="120"/>
      <c r="C38" s="120"/>
      <c r="D38" s="32"/>
      <c r="E38" s="32"/>
      <c r="F38" s="106"/>
      <c r="G38" s="148"/>
      <c r="H38" s="148"/>
      <c r="I38" s="148" t="str">
        <f>IF(G37="","",G37+1.96*H37)</f>
        <v/>
      </c>
      <c r="J38" s="8"/>
      <c r="K38" s="8"/>
      <c r="L38" s="429"/>
      <c r="M38" s="429"/>
      <c r="N38" s="429"/>
      <c r="O38" s="429"/>
      <c r="P38" s="429"/>
      <c r="Q38" s="429"/>
      <c r="R38" s="429"/>
      <c r="S38" s="429"/>
      <c r="T38" s="429"/>
    </row>
    <row r="39" spans="1:20" ht="12.75" customHeight="1" x14ac:dyDescent="0.2">
      <c r="A39" s="442" t="s">
        <v>92</v>
      </c>
    </row>
    <row r="40" spans="1:20" ht="12.75" customHeight="1" x14ac:dyDescent="0.2">
      <c r="A40" s="488">
        <v>5</v>
      </c>
      <c r="B40" s="727"/>
      <c r="C40" s="728"/>
      <c r="D40" s="729"/>
      <c r="E40" s="32"/>
      <c r="F40" s="32"/>
      <c r="G40" s="149"/>
      <c r="H40" s="149"/>
      <c r="I40" s="149"/>
      <c r="J40" s="1"/>
      <c r="K40" s="1"/>
      <c r="L40" s="429"/>
      <c r="M40" s="429"/>
      <c r="N40" s="429"/>
      <c r="O40" s="429"/>
      <c r="P40" s="429"/>
      <c r="Q40" s="429"/>
      <c r="R40" s="429"/>
      <c r="S40" s="429"/>
      <c r="T40" s="429"/>
    </row>
    <row r="41" spans="1:20" ht="12.75" customHeight="1" x14ac:dyDescent="0.2">
      <c r="A41" s="429"/>
      <c r="B41" s="675" t="s">
        <v>4</v>
      </c>
      <c r="C41" s="677"/>
    </row>
    <row r="42" spans="1:20" ht="12.75" customHeight="1" x14ac:dyDescent="0.2">
      <c r="A42" s="442" t="s">
        <v>107</v>
      </c>
      <c r="B42" s="654" t="s">
        <v>0</v>
      </c>
      <c r="C42" s="655" t="s">
        <v>182</v>
      </c>
      <c r="D42" s="442" t="s">
        <v>36</v>
      </c>
      <c r="E42" s="34" t="s">
        <v>39</v>
      </c>
      <c r="F42" s="417" t="s">
        <v>40</v>
      </c>
      <c r="G42" s="139" t="s">
        <v>1</v>
      </c>
      <c r="H42" s="140" t="s">
        <v>2</v>
      </c>
      <c r="I42" s="141" t="s">
        <v>12</v>
      </c>
      <c r="J42" s="2"/>
      <c r="K42" s="5"/>
      <c r="L42" s="429"/>
      <c r="M42" s="429"/>
      <c r="N42" s="429"/>
      <c r="O42" s="429"/>
      <c r="P42" s="429"/>
      <c r="Q42" s="429"/>
      <c r="R42" s="429"/>
      <c r="S42" s="429"/>
      <c r="T42" s="429"/>
    </row>
    <row r="43" spans="1:20" ht="12.75" customHeight="1" x14ac:dyDescent="0.2">
      <c r="A43" s="35" t="str">
        <f>"2"</f>
        <v>2</v>
      </c>
      <c r="B43" s="88"/>
      <c r="C43" s="89"/>
      <c r="D43" s="35">
        <f>SUM(B43:C43)</f>
        <v>0</v>
      </c>
      <c r="E43" s="136" t="str">
        <f>IF(D45&gt;0,B43*C44/D45,"")</f>
        <v/>
      </c>
      <c r="F43" s="137" t="str">
        <f>IF(D45&gt;0,C43*B44/D45,"")</f>
        <v/>
      </c>
      <c r="G43" s="142" t="str">
        <f>IF(F43="","",E43/F43)</f>
        <v/>
      </c>
      <c r="H43" s="143"/>
      <c r="I43" s="144" t="str">
        <f>IF(I45="","",EXP(I45))</f>
        <v/>
      </c>
      <c r="J43" s="1" t="e">
        <f>(B43+C44)/D45</f>
        <v>#DIV/0!</v>
      </c>
      <c r="K43" s="1" t="e">
        <f>(B44+C43)/D45</f>
        <v>#DIV/0!</v>
      </c>
      <c r="L43" s="429" t="e">
        <f>E43*J43</f>
        <v>#VALUE!</v>
      </c>
      <c r="M43" s="429" t="e">
        <f>F43*K43</f>
        <v>#VALUE!</v>
      </c>
      <c r="N43" s="429" t="e">
        <f>E43*K43+F43*J43</f>
        <v>#VALUE!</v>
      </c>
      <c r="O43" s="16" t="e">
        <f>((G45-$G$60)/H45)^2</f>
        <v>#VALUE!</v>
      </c>
      <c r="P43" s="17">
        <f>IF(D45&gt;0,1,0)</f>
        <v>0</v>
      </c>
      <c r="Q43" s="6" t="e">
        <f>D43*B45/D45</f>
        <v>#DIV/0!</v>
      </c>
      <c r="R43" s="6" t="e">
        <f>B43-Q43</f>
        <v>#DIV/0!</v>
      </c>
      <c r="S43" s="6" t="e">
        <f>B45*C45*D43*D44/D45^2/(D45-1)</f>
        <v>#DIV/0!</v>
      </c>
      <c r="T43" s="429"/>
    </row>
    <row r="44" spans="1:20" ht="12.75" customHeight="1" x14ac:dyDescent="0.2">
      <c r="A44" s="29" t="str">
        <f>"1 (Ref)"</f>
        <v>1 (Ref)</v>
      </c>
      <c r="B44" s="93"/>
      <c r="C44" s="94"/>
      <c r="D44" s="35">
        <f>SUM(B44:C44)</f>
        <v>0</v>
      </c>
      <c r="E44" s="34"/>
      <c r="F44" s="81"/>
      <c r="G44" s="145"/>
      <c r="H44" s="146"/>
      <c r="I44" s="147" t="str">
        <f>IF(I46="","",EXP(I46))</f>
        <v/>
      </c>
      <c r="J44" s="1"/>
      <c r="K44" s="1"/>
      <c r="L44" s="429"/>
      <c r="M44" s="429"/>
      <c r="N44" s="429"/>
      <c r="O44" s="429"/>
      <c r="P44" s="429"/>
      <c r="Q44" s="429"/>
      <c r="R44" s="429"/>
      <c r="S44" s="429"/>
      <c r="T44" s="429"/>
    </row>
    <row r="45" spans="1:20" ht="12.75" customHeight="1" x14ac:dyDescent="0.2">
      <c r="A45" s="430" t="s">
        <v>36</v>
      </c>
      <c r="B45" s="430">
        <f>SUM(B43:B44)</f>
        <v>0</v>
      </c>
      <c r="C45" s="432">
        <f>SUM(C43:C44)</f>
        <v>0</v>
      </c>
      <c r="D45" s="442">
        <f>SUM(B45:C45)</f>
        <v>0</v>
      </c>
      <c r="E45" s="34"/>
      <c r="F45" s="106"/>
      <c r="G45" s="148" t="str">
        <f>IF(G43="","",LN(G43))</f>
        <v/>
      </c>
      <c r="H45" s="148" t="str">
        <f>IF(D45=0,"",SQRT(1/B43+1/B44+1/C43+1/C44))</f>
        <v/>
      </c>
      <c r="I45" s="148" t="str">
        <f>IF(G45="","",G45-1.96*H45)</f>
        <v/>
      </c>
      <c r="J45" s="8"/>
      <c r="K45" s="8"/>
      <c r="L45" s="429"/>
      <c r="M45" s="429"/>
      <c r="N45" s="429"/>
      <c r="O45" s="429"/>
      <c r="P45" s="429"/>
      <c r="Q45" s="429"/>
      <c r="R45" s="429"/>
      <c r="S45" s="429"/>
      <c r="T45" s="429"/>
    </row>
    <row r="46" spans="1:20" ht="12.75" customHeight="1" x14ac:dyDescent="0.2">
      <c r="A46" s="119"/>
      <c r="B46" s="120"/>
      <c r="C46" s="120"/>
      <c r="D46" s="32"/>
      <c r="E46" s="32"/>
      <c r="F46" s="106"/>
      <c r="G46" s="148"/>
      <c r="H46" s="148"/>
      <c r="I46" s="148" t="str">
        <f>IF(G45="","",G45+1.96*H45)</f>
        <v/>
      </c>
      <c r="J46" s="8"/>
      <c r="K46" s="8"/>
      <c r="L46" s="429"/>
      <c r="M46" s="429"/>
      <c r="N46" s="429"/>
      <c r="O46" s="429"/>
      <c r="P46" s="429"/>
      <c r="Q46" s="429"/>
      <c r="R46" s="429"/>
      <c r="S46" s="429"/>
      <c r="T46" s="429"/>
    </row>
    <row r="47" spans="1:20" ht="12.75" customHeight="1" x14ac:dyDescent="0.2">
      <c r="A47" s="442" t="s">
        <v>92</v>
      </c>
    </row>
    <row r="48" spans="1:20" ht="12.75" customHeight="1" x14ac:dyDescent="0.2">
      <c r="A48" s="488">
        <v>6</v>
      </c>
      <c r="B48" s="727"/>
      <c r="C48" s="728"/>
      <c r="D48" s="729"/>
      <c r="E48" s="32"/>
      <c r="F48" s="32"/>
      <c r="G48" s="149"/>
      <c r="H48" s="149"/>
      <c r="I48" s="149"/>
      <c r="J48" s="1"/>
      <c r="K48" s="1"/>
      <c r="L48" s="429"/>
      <c r="M48" s="429"/>
      <c r="N48" s="429"/>
      <c r="O48" s="429"/>
      <c r="P48" s="429"/>
      <c r="Q48" s="429"/>
      <c r="R48" s="429"/>
      <c r="S48" s="429"/>
      <c r="T48" s="429"/>
    </row>
    <row r="49" spans="1:20" ht="12.75" customHeight="1" x14ac:dyDescent="0.2">
      <c r="A49" s="429"/>
      <c r="B49" s="675" t="s">
        <v>4</v>
      </c>
      <c r="C49" s="677"/>
    </row>
    <row r="50" spans="1:20" ht="12.75" customHeight="1" x14ac:dyDescent="0.2">
      <c r="A50" s="442" t="s">
        <v>107</v>
      </c>
      <c r="B50" s="654" t="s">
        <v>0</v>
      </c>
      <c r="C50" s="655" t="s">
        <v>182</v>
      </c>
      <c r="D50" s="442" t="s">
        <v>36</v>
      </c>
      <c r="E50" s="34" t="s">
        <v>39</v>
      </c>
      <c r="F50" s="417" t="s">
        <v>40</v>
      </c>
      <c r="G50" s="139" t="s">
        <v>1</v>
      </c>
      <c r="H50" s="140" t="s">
        <v>2</v>
      </c>
      <c r="I50" s="141" t="s">
        <v>12</v>
      </c>
      <c r="J50" s="2"/>
      <c r="K50" s="5"/>
      <c r="L50" s="429"/>
      <c r="M50" s="429"/>
      <c r="N50" s="429"/>
      <c r="O50" s="429"/>
      <c r="P50" s="429"/>
      <c r="Q50" s="429"/>
      <c r="R50" s="429"/>
      <c r="S50" s="429"/>
      <c r="T50" s="429"/>
    </row>
    <row r="51" spans="1:20" ht="12.75" customHeight="1" x14ac:dyDescent="0.2">
      <c r="A51" s="35" t="str">
        <f>"2"</f>
        <v>2</v>
      </c>
      <c r="B51" s="88"/>
      <c r="C51" s="89"/>
      <c r="D51" s="35">
        <f>SUM(B51:C51)</f>
        <v>0</v>
      </c>
      <c r="E51" s="136" t="str">
        <f>IF(D53&gt;0,B51*C52/D53,"")</f>
        <v/>
      </c>
      <c r="F51" s="137" t="str">
        <f>IF(D53&gt;0,C51*B52/D53,"")</f>
        <v/>
      </c>
      <c r="G51" s="142" t="str">
        <f>IF(F51="","",E51/F51)</f>
        <v/>
      </c>
      <c r="H51" s="143"/>
      <c r="I51" s="144" t="str">
        <f>IF(I53="","",EXP(I53))</f>
        <v/>
      </c>
      <c r="J51" s="1" t="e">
        <f>(B51+C52)/D53</f>
        <v>#DIV/0!</v>
      </c>
      <c r="K51" s="1" t="e">
        <f>(B52+C51)/D53</f>
        <v>#DIV/0!</v>
      </c>
      <c r="L51" s="429" t="e">
        <f>E51*J51</f>
        <v>#VALUE!</v>
      </c>
      <c r="M51" s="429" t="e">
        <f>F51*K51</f>
        <v>#VALUE!</v>
      </c>
      <c r="N51" s="429" t="e">
        <f>E51*K51+F51*J51</f>
        <v>#VALUE!</v>
      </c>
      <c r="O51" s="16" t="e">
        <f>((G53-$G$60)/H53)^2</f>
        <v>#VALUE!</v>
      </c>
      <c r="P51" s="17">
        <f>IF(D53&gt;0,1,0)</f>
        <v>0</v>
      </c>
      <c r="Q51" s="6" t="e">
        <f>D51*B53/D53</f>
        <v>#DIV/0!</v>
      </c>
      <c r="R51" s="6" t="e">
        <f>B51-Q51</f>
        <v>#DIV/0!</v>
      </c>
      <c r="S51" s="6" t="e">
        <f>B53*C53*D51*D52/D53^2/(D53-1)</f>
        <v>#DIV/0!</v>
      </c>
      <c r="T51" s="429"/>
    </row>
    <row r="52" spans="1:20" ht="12.75" customHeight="1" x14ac:dyDescent="0.2">
      <c r="A52" s="29" t="str">
        <f>"1 (Ref)"</f>
        <v>1 (Ref)</v>
      </c>
      <c r="B52" s="93"/>
      <c r="C52" s="94"/>
      <c r="D52" s="35">
        <f>SUM(B52:C52)</f>
        <v>0</v>
      </c>
      <c r="E52" s="34"/>
      <c r="F52" s="81"/>
      <c r="G52" s="145"/>
      <c r="H52" s="146"/>
      <c r="I52" s="147" t="str">
        <f>IF(I56="","",EXP(I56))</f>
        <v/>
      </c>
      <c r="J52" s="1"/>
      <c r="K52" s="1"/>
      <c r="L52" s="429"/>
      <c r="M52" s="429"/>
      <c r="N52" s="429"/>
      <c r="O52" s="429"/>
      <c r="P52" s="429"/>
      <c r="Q52" s="429"/>
      <c r="R52" s="429"/>
      <c r="S52" s="429"/>
      <c r="T52" s="429"/>
    </row>
    <row r="53" spans="1:20" ht="12.75" customHeight="1" x14ac:dyDescent="0.2">
      <c r="A53" s="430" t="s">
        <v>36</v>
      </c>
      <c r="B53" s="430">
        <f>SUM(B51:B52)</f>
        <v>0</v>
      </c>
      <c r="C53" s="432">
        <f>SUM(C51:C52)</f>
        <v>0</v>
      </c>
      <c r="D53" s="442">
        <f>SUM(B53:C53)</f>
        <v>0</v>
      </c>
      <c r="E53" s="34"/>
      <c r="F53" s="106"/>
      <c r="G53" s="106" t="str">
        <f>IF(G51="","",LN(G51))</f>
        <v/>
      </c>
      <c r="H53" s="106" t="str">
        <f>IF(D53=0,"",SQRT(1/B51+1/B52+1/C51+1/C52))</f>
        <v/>
      </c>
      <c r="I53" s="106" t="str">
        <f>IF(G53="","",G53-1.96*H53)</f>
        <v/>
      </c>
      <c r="J53" s="8"/>
      <c r="K53" s="8"/>
      <c r="L53" s="429"/>
      <c r="M53" s="429"/>
      <c r="N53" s="429"/>
      <c r="O53" s="429"/>
      <c r="P53" s="429"/>
      <c r="Q53" s="429"/>
      <c r="R53" s="429"/>
      <c r="S53" s="429"/>
      <c r="T53" s="429"/>
    </row>
    <row r="54" spans="1:20" ht="12.75" customHeight="1" x14ac:dyDescent="0.2">
      <c r="A54" s="34"/>
      <c r="B54" s="34"/>
      <c r="C54" s="34"/>
      <c r="D54" s="34"/>
      <c r="E54" s="34"/>
      <c r="F54" s="106"/>
      <c r="G54" s="106"/>
      <c r="H54" s="106"/>
      <c r="I54" s="106" t="str">
        <f>IF(G53="","",G53+1.96*H53)</f>
        <v/>
      </c>
      <c r="J54" s="8"/>
      <c r="K54" s="8"/>
      <c r="L54" s="429"/>
      <c r="M54" s="429"/>
      <c r="N54" s="429"/>
      <c r="O54" s="429"/>
      <c r="P54" s="429"/>
      <c r="Q54" s="429"/>
      <c r="R54" s="429"/>
      <c r="S54" s="429"/>
      <c r="T54" s="429"/>
    </row>
    <row r="55" spans="1:20" ht="12.75" customHeight="1" x14ac:dyDescent="0.2">
      <c r="A55" s="429"/>
      <c r="B55" s="429"/>
      <c r="C55" s="429"/>
      <c r="D55" s="429"/>
      <c r="E55" s="429"/>
      <c r="G55" s="429"/>
      <c r="H55" s="429"/>
      <c r="I55" s="429"/>
      <c r="J55" s="8"/>
      <c r="K55" s="8"/>
      <c r="L55" s="429"/>
      <c r="M55" s="429"/>
      <c r="N55" s="429"/>
      <c r="O55" s="429"/>
      <c r="P55" s="429"/>
      <c r="Q55" s="429"/>
      <c r="R55" s="429"/>
      <c r="S55" s="429"/>
      <c r="T55" s="429"/>
    </row>
    <row r="56" spans="1:20" ht="12.75" customHeight="1" x14ac:dyDescent="0.2">
      <c r="A56" s="553" t="s">
        <v>45</v>
      </c>
      <c r="B56" s="489"/>
      <c r="C56" s="124"/>
      <c r="D56" s="32"/>
      <c r="E56" s="32"/>
      <c r="F56" s="106"/>
      <c r="G56" s="553" t="s">
        <v>16</v>
      </c>
      <c r="H56" s="106"/>
      <c r="I56" s="106" t="str">
        <f>IF(G53="","",G53+1.96*H53)</f>
        <v/>
      </c>
      <c r="J56" s="2" t="s">
        <v>18</v>
      </c>
      <c r="K56" s="5" t="s">
        <v>19</v>
      </c>
      <c r="L56" s="5" t="s">
        <v>20</v>
      </c>
      <c r="M56" s="5" t="s">
        <v>21</v>
      </c>
      <c r="N56" s="5" t="s">
        <v>25</v>
      </c>
      <c r="O56" s="5" t="s">
        <v>37</v>
      </c>
      <c r="P56" s="5" t="s">
        <v>44</v>
      </c>
      <c r="Q56" s="5" t="s">
        <v>42</v>
      </c>
      <c r="R56" s="5" t="s">
        <v>41</v>
      </c>
      <c r="S56" s="5" t="s">
        <v>43</v>
      </c>
      <c r="T56" s="5" t="s">
        <v>46</v>
      </c>
    </row>
    <row r="57" spans="1:20" ht="12.75" customHeight="1" x14ac:dyDescent="0.2">
      <c r="A57" s="442" t="s">
        <v>190</v>
      </c>
      <c r="B57" s="129" t="s">
        <v>35</v>
      </c>
      <c r="C57" s="82" t="s">
        <v>33</v>
      </c>
      <c r="D57" s="122"/>
      <c r="E57" s="19"/>
      <c r="F57" s="19"/>
      <c r="G57" s="140" t="s">
        <v>1</v>
      </c>
      <c r="H57" s="141" t="s">
        <v>2</v>
      </c>
      <c r="I57" s="141" t="s">
        <v>12</v>
      </c>
      <c r="J57" s="4">
        <f t="shared" ref="J57:Q57" si="0">SUMIF(J11:J51,"&gt;0")</f>
        <v>1.8196192609182531</v>
      </c>
      <c r="K57" s="4">
        <f t="shared" si="0"/>
        <v>0.1803807390817469</v>
      </c>
      <c r="L57" s="4">
        <f t="shared" si="0"/>
        <v>3.2728323722269383</v>
      </c>
      <c r="M57" s="4">
        <f t="shared" si="0"/>
        <v>8.9905181146380519E-2</v>
      </c>
      <c r="N57" s="4">
        <f t="shared" si="0"/>
        <v>1.2008458732784164</v>
      </c>
      <c r="O57" s="4">
        <f t="shared" si="0"/>
        <v>0.13776933766837401</v>
      </c>
      <c r="P57" s="17">
        <f t="shared" si="0"/>
        <v>2</v>
      </c>
      <c r="Q57" s="6">
        <f t="shared" si="0"/>
        <v>1.3453975363941768</v>
      </c>
      <c r="R57" s="6">
        <f>SUMIF(R11:R51,"&lt;0") + SUMIF(R11:R51,"&gt;0")</f>
        <v>2.6546024636058232</v>
      </c>
      <c r="S57" s="6">
        <f>SUMIF(S11:S51,"&gt;0")</f>
        <v>1.2130704451895942</v>
      </c>
      <c r="T57" s="6">
        <f>SQRT(S57/(E58*F58))</f>
        <v>0.59341453098506458</v>
      </c>
    </row>
    <row r="58" spans="1:20" ht="12.75" customHeight="1" x14ac:dyDescent="0.2">
      <c r="A58" s="95">
        <f>R57^2/S57</f>
        <v>5.809154998150766</v>
      </c>
      <c r="B58" s="22">
        <v>1</v>
      </c>
      <c r="C58" s="41">
        <f>CHIDIST(A58,B58)</f>
        <v>1.5942953041247706E-2</v>
      </c>
      <c r="D58" s="83"/>
      <c r="E58" s="120">
        <f>SUMIF(E11:E51,"&gt;0")</f>
        <v>3.6090929451287797</v>
      </c>
      <c r="F58" s="120">
        <f>SUMIF(F11:F51,"&gt;0")</f>
        <v>0.95449048152295624</v>
      </c>
      <c r="G58" s="125">
        <f>E58/F58</f>
        <v>3.7811722746257455</v>
      </c>
      <c r="H58" s="92"/>
      <c r="I58" s="126">
        <f>EXP(I60)</f>
        <v>1.1873150002610298</v>
      </c>
      <c r="J58" s="1" t="s">
        <v>22</v>
      </c>
      <c r="K58" s="1" t="s">
        <v>23</v>
      </c>
      <c r="L58" s="1" t="s">
        <v>24</v>
      </c>
      <c r="M58" s="429"/>
      <c r="N58" s="429"/>
      <c r="O58" s="429"/>
      <c r="P58" s="429"/>
      <c r="Q58" s="429"/>
      <c r="R58" s="429"/>
      <c r="S58" s="429"/>
      <c r="T58" s="429"/>
    </row>
    <row r="59" spans="1:20" ht="12.75" customHeight="1" x14ac:dyDescent="0.2">
      <c r="A59" s="31"/>
      <c r="B59" s="83"/>
      <c r="C59" s="19"/>
      <c r="D59" s="34"/>
      <c r="E59" s="34"/>
      <c r="F59" s="19"/>
      <c r="G59" s="102"/>
      <c r="H59" s="104"/>
      <c r="I59" s="128">
        <f>EXP(I61)</f>
        <v>12.041677033689627</v>
      </c>
      <c r="J59" s="8">
        <f>L57/2/E58^2</f>
        <v>0.12563123623189051</v>
      </c>
      <c r="K59" s="8">
        <f>N57/(2*E58*F58)</f>
        <v>0.17429607442651926</v>
      </c>
      <c r="L59" s="446">
        <f>M57/2/F58^2</f>
        <v>4.9341406044366647E-2</v>
      </c>
      <c r="M59" s="429"/>
      <c r="N59" s="429"/>
      <c r="O59" s="429"/>
      <c r="P59" s="429"/>
      <c r="Q59" s="429"/>
      <c r="R59" s="429"/>
      <c r="S59" s="429"/>
      <c r="T59" s="429"/>
    </row>
    <row r="60" spans="1:20" ht="12.75" customHeight="1" x14ac:dyDescent="0.2">
      <c r="A60" s="135" t="s">
        <v>34</v>
      </c>
      <c r="B60" s="19"/>
      <c r="C60" s="19"/>
      <c r="D60" s="32"/>
      <c r="E60" s="32"/>
      <c r="F60" s="19"/>
      <c r="G60" s="106">
        <f>LN(G58)</f>
        <v>1.3300340871148708</v>
      </c>
      <c r="H60" s="106">
        <f>SQRT(SUM(J59:L59))</f>
        <v>0.59098960794820787</v>
      </c>
      <c r="I60" s="106">
        <f>G60-1.96*H60</f>
        <v>0.17169445553638329</v>
      </c>
      <c r="J60" s="8"/>
      <c r="K60" s="8"/>
      <c r="L60" s="429"/>
      <c r="M60" s="429"/>
      <c r="N60" s="429"/>
      <c r="O60" s="429"/>
      <c r="P60" s="429"/>
      <c r="Q60" s="429"/>
      <c r="R60" s="429"/>
      <c r="S60" s="429"/>
      <c r="T60" s="429"/>
    </row>
    <row r="61" spans="1:20" ht="12.75" customHeight="1" x14ac:dyDescent="0.2">
      <c r="A61" s="442" t="s">
        <v>190</v>
      </c>
      <c r="B61" s="67" t="s">
        <v>35</v>
      </c>
      <c r="C61" s="67" t="s">
        <v>33</v>
      </c>
      <c r="D61" s="32"/>
      <c r="E61" s="32"/>
      <c r="F61" s="106"/>
      <c r="G61" s="106"/>
      <c r="H61" s="106"/>
      <c r="I61" s="106">
        <f>G60+1.96*H60</f>
        <v>2.4883737186933583</v>
      </c>
      <c r="J61" s="1"/>
      <c r="K61" s="1"/>
    </row>
    <row r="62" spans="1:20" ht="12.75" customHeight="1" x14ac:dyDescent="0.2">
      <c r="A62" s="95">
        <f>O57</f>
        <v>0.13776933766837401</v>
      </c>
      <c r="B62" s="67">
        <f>P57-1</f>
        <v>1</v>
      </c>
      <c r="C62" s="41">
        <f>CHIDIST(A62,B62)</f>
        <v>0.71050874032774947</v>
      </c>
      <c r="D62" s="138"/>
      <c r="E62" s="30"/>
      <c r="F62" s="110"/>
      <c r="G62" s="106"/>
      <c r="H62" s="106"/>
      <c r="I62" s="106"/>
      <c r="J62" s="1"/>
      <c r="K62" s="1"/>
    </row>
    <row r="63" spans="1:20" ht="12.75" customHeight="1" x14ac:dyDescent="0.2">
      <c r="A63" s="19"/>
      <c r="B63" s="19"/>
      <c r="C63" s="19"/>
      <c r="D63" s="138"/>
      <c r="E63" s="30"/>
      <c r="F63" s="110"/>
      <c r="G63" s="106"/>
      <c r="H63" s="106"/>
      <c r="I63" s="106"/>
    </row>
    <row r="64" spans="1:20" ht="12.75" customHeight="1" x14ac:dyDescent="0.2">
      <c r="A64" s="135" t="s">
        <v>218</v>
      </c>
      <c r="B64" s="19"/>
      <c r="C64" s="19"/>
      <c r="D64" s="32"/>
      <c r="E64" s="32"/>
      <c r="F64" s="32"/>
      <c r="G64" s="572" t="s">
        <v>38</v>
      </c>
      <c r="H64" s="32"/>
      <c r="I64" s="32"/>
    </row>
    <row r="65" spans="1:9" ht="12.75" customHeight="1" x14ac:dyDescent="0.2">
      <c r="B65" s="675" t="s">
        <v>4</v>
      </c>
      <c r="C65" s="677"/>
    </row>
    <row r="66" spans="1:9" ht="12.75" customHeight="1" x14ac:dyDescent="0.2">
      <c r="A66" s="21" t="s">
        <v>107</v>
      </c>
      <c r="B66" s="654" t="s">
        <v>0</v>
      </c>
      <c r="C66" s="655" t="s">
        <v>182</v>
      </c>
      <c r="D66" s="22" t="s">
        <v>36</v>
      </c>
      <c r="E66" s="34" t="s">
        <v>39</v>
      </c>
      <c r="F66" s="101" t="s">
        <v>40</v>
      </c>
      <c r="G66" s="139" t="s">
        <v>1</v>
      </c>
      <c r="H66" s="140" t="s">
        <v>2</v>
      </c>
      <c r="I66" s="141" t="s">
        <v>12</v>
      </c>
    </row>
    <row r="67" spans="1:9" ht="12.75" customHeight="1" x14ac:dyDescent="0.2">
      <c r="A67" s="35" t="str">
        <f>"2"</f>
        <v>2</v>
      </c>
      <c r="B67" s="130">
        <f>SUM(B11,B19,B27,B35,B43)</f>
        <v>4</v>
      </c>
      <c r="C67" s="131">
        <f>SUM(C11,C19,C27,C35,C43)</f>
        <v>109</v>
      </c>
      <c r="D67" s="35">
        <f>SUM(B67:C67)</f>
        <v>113</v>
      </c>
      <c r="E67" s="124">
        <f>B67*C68/D69</f>
        <v>3.606299212598425</v>
      </c>
      <c r="F67" s="120">
        <f>C67*B68/D69</f>
        <v>1.0299212598425196</v>
      </c>
      <c r="G67" s="132">
        <f>E67/F67</f>
        <v>3.5015290519877675</v>
      </c>
      <c r="H67" s="90"/>
      <c r="I67" s="126">
        <f>EXP(I69)</f>
        <v>1.1103383823185713</v>
      </c>
    </row>
    <row r="68" spans="1:9" ht="12.75" customHeight="1" x14ac:dyDescent="0.2">
      <c r="A68" s="29" t="str">
        <f>"1 (Ref)"</f>
        <v>1 (Ref)</v>
      </c>
      <c r="B68" s="133">
        <f>SUM(B12,B20,B28,B36,B44)</f>
        <v>12</v>
      </c>
      <c r="C68" s="134">
        <f>SUM(C12,C20,C28,C36,C44)</f>
        <v>1145</v>
      </c>
      <c r="D68" s="35">
        <f>SUM(B68:C68)</f>
        <v>1157</v>
      </c>
      <c r="E68" s="34"/>
      <c r="F68" s="81"/>
      <c r="G68" s="70"/>
      <c r="H68" s="102"/>
      <c r="I68" s="128">
        <f>EXP(I70)</f>
        <v>11.042314574690248</v>
      </c>
    </row>
    <row r="69" spans="1:9" ht="12.75" customHeight="1" x14ac:dyDescent="0.2">
      <c r="A69" s="21" t="s">
        <v>36</v>
      </c>
      <c r="B69" s="21">
        <f>SUM(B67:B68)</f>
        <v>16</v>
      </c>
      <c r="C69" s="23">
        <f>SUM(C67:C68)</f>
        <v>1254</v>
      </c>
      <c r="D69" s="22">
        <f>SUM(B69:C69)</f>
        <v>1270</v>
      </c>
      <c r="E69" s="34"/>
      <c r="F69" s="106"/>
      <c r="G69" s="106">
        <f>LN(G67)</f>
        <v>1.2531997450910866</v>
      </c>
      <c r="H69" s="106">
        <f>SQRT(1/B67+1/B68+1/C67+1/C68)</f>
        <v>0.58598720780009672</v>
      </c>
      <c r="I69" s="106">
        <f>G69-1.96*H69</f>
        <v>0.10466481780289705</v>
      </c>
    </row>
    <row r="70" spans="1:9" ht="12.75" customHeight="1" x14ac:dyDescent="0.2">
      <c r="A70" s="119"/>
      <c r="B70" s="120"/>
      <c r="C70" s="120"/>
      <c r="D70" s="32"/>
      <c r="E70" s="32"/>
      <c r="F70" s="106"/>
      <c r="G70" s="106"/>
      <c r="H70" s="106"/>
      <c r="I70" s="106">
        <f>G69+1.96*H69</f>
        <v>2.4017346723792761</v>
      </c>
    </row>
  </sheetData>
  <sheetProtection sheet="1" formatCells="0" formatColumns="0" formatRows="0"/>
  <mergeCells count="15">
    <mergeCell ref="B49:C49"/>
    <mergeCell ref="B65:C65"/>
    <mergeCell ref="B40:D40"/>
    <mergeCell ref="B48:D48"/>
    <mergeCell ref="A2:E2"/>
    <mergeCell ref="B8:D8"/>
    <mergeCell ref="A5:I5"/>
    <mergeCell ref="B9:C9"/>
    <mergeCell ref="B17:C17"/>
    <mergeCell ref="B24:D24"/>
    <mergeCell ref="B16:D16"/>
    <mergeCell ref="B32:D32"/>
    <mergeCell ref="B25:C25"/>
    <mergeCell ref="B33:C33"/>
    <mergeCell ref="B41:C41"/>
  </mergeCells>
  <phoneticPr fontId="0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F10" sqref="F10"/>
    </sheetView>
  </sheetViews>
  <sheetFormatPr defaultRowHeight="12.75" x14ac:dyDescent="0.2"/>
  <cols>
    <col min="1" max="1" width="9" customWidth="1"/>
    <col min="2" max="2" width="19.7109375" customWidth="1"/>
    <col min="3" max="4" width="8.85546875" customWidth="1"/>
    <col min="5" max="5" width="9.7109375" customWidth="1"/>
    <col min="6" max="6" width="10.140625" customWidth="1"/>
    <col min="7" max="7" width="10" customWidth="1"/>
    <col min="10" max="10" width="11" customWidth="1"/>
    <col min="14" max="15" width="7" hidden="1" customWidth="1"/>
    <col min="16" max="16" width="7.42578125" hidden="1" customWidth="1"/>
  </cols>
  <sheetData>
    <row r="1" spans="1:16" ht="12.75" customHeight="1" x14ac:dyDescent="0.2">
      <c r="A1" s="7" t="s">
        <v>252</v>
      </c>
      <c r="B1" s="506"/>
      <c r="C1" s="507"/>
      <c r="D1" s="507"/>
      <c r="E1" s="508"/>
      <c r="F1" s="326"/>
      <c r="G1" s="7"/>
      <c r="H1" s="7"/>
    </row>
    <row r="2" spans="1:16" ht="12.75" customHeight="1" x14ac:dyDescent="0.2">
      <c r="A2" s="446" t="s">
        <v>222</v>
      </c>
      <c r="B2" s="507"/>
      <c r="C2" s="507"/>
      <c r="D2" s="507"/>
      <c r="E2" s="508"/>
      <c r="F2" s="326"/>
      <c r="G2" s="7"/>
      <c r="H2" s="7"/>
    </row>
    <row r="3" spans="1:16" ht="12.75" customHeight="1" x14ac:dyDescent="0.2">
      <c r="A3" s="19"/>
      <c r="B3" s="19"/>
      <c r="C3" s="20"/>
      <c r="D3" s="20"/>
      <c r="E3" s="20"/>
      <c r="F3" s="20"/>
      <c r="G3" s="20"/>
      <c r="H3" s="20"/>
    </row>
    <row r="4" spans="1:16" ht="12.75" customHeight="1" x14ac:dyDescent="0.2">
      <c r="A4" s="279" t="s">
        <v>257</v>
      </c>
      <c r="B4" s="280"/>
      <c r="C4" s="280"/>
      <c r="D4" s="280"/>
      <c r="E4" s="280"/>
      <c r="F4" s="281"/>
      <c r="G4" s="20"/>
      <c r="H4" s="20"/>
      <c r="I4" s="429"/>
    </row>
    <row r="5" spans="1:16" ht="12.75" customHeight="1" x14ac:dyDescent="0.2">
      <c r="A5" s="451" t="s">
        <v>258</v>
      </c>
      <c r="B5" s="452"/>
      <c r="C5" s="452"/>
      <c r="D5" s="452"/>
      <c r="E5" s="452"/>
      <c r="F5" s="453"/>
      <c r="G5" s="19"/>
      <c r="H5" s="19"/>
      <c r="I5" s="429"/>
    </row>
    <row r="6" spans="1:16" ht="12.75" customHeight="1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16" ht="12.75" customHeight="1" x14ac:dyDescent="0.2">
      <c r="A7" s="430"/>
      <c r="B7" s="431"/>
      <c r="C7" s="675" t="s">
        <v>174</v>
      </c>
      <c r="D7" s="677"/>
      <c r="E7" s="675" t="s">
        <v>219</v>
      </c>
      <c r="F7" s="676"/>
      <c r="G7" s="677"/>
      <c r="H7" s="675" t="s">
        <v>173</v>
      </c>
      <c r="I7" s="677"/>
      <c r="J7" s="675" t="s">
        <v>170</v>
      </c>
      <c r="K7" s="676"/>
      <c r="L7" s="677"/>
    </row>
    <row r="8" spans="1:16" ht="12.75" customHeight="1" x14ac:dyDescent="0.2">
      <c r="F8" s="731" t="s">
        <v>93</v>
      </c>
      <c r="G8" s="731" t="s">
        <v>95</v>
      </c>
      <c r="M8" s="429"/>
      <c r="N8" s="429"/>
      <c r="O8" s="429"/>
    </row>
    <row r="9" spans="1:16" ht="12.75" customHeight="1" x14ac:dyDescent="0.2">
      <c r="A9" s="442" t="s">
        <v>92</v>
      </c>
      <c r="B9" s="474" t="s">
        <v>158</v>
      </c>
      <c r="C9" s="474" t="s">
        <v>74</v>
      </c>
      <c r="D9" s="473" t="s">
        <v>2</v>
      </c>
      <c r="E9" s="474" t="s">
        <v>88</v>
      </c>
      <c r="F9" s="732"/>
      <c r="G9" s="732"/>
      <c r="H9" s="675" t="s">
        <v>12</v>
      </c>
      <c r="I9" s="677"/>
      <c r="J9" s="430" t="s">
        <v>143</v>
      </c>
      <c r="K9" s="443" t="s">
        <v>32</v>
      </c>
      <c r="L9" s="445" t="s">
        <v>33</v>
      </c>
      <c r="M9" s="429"/>
      <c r="N9" s="513" t="s">
        <v>175</v>
      </c>
      <c r="O9" s="513" t="s">
        <v>175</v>
      </c>
      <c r="P9" s="513" t="s">
        <v>175</v>
      </c>
    </row>
    <row r="10" spans="1:16" ht="12.75" customHeight="1" x14ac:dyDescent="0.2">
      <c r="A10" s="442">
        <v>1</v>
      </c>
      <c r="B10" s="264" t="s">
        <v>255</v>
      </c>
      <c r="C10" s="213">
        <f>LN(1.27)</f>
        <v>0.23901690047049992</v>
      </c>
      <c r="D10" s="509">
        <v>0.16800000000000001</v>
      </c>
      <c r="E10" s="366">
        <f t="shared" ref="E10:E32" si="0">IF(N10,1/(D10^2),"")</f>
        <v>35.430839002267568</v>
      </c>
      <c r="F10" s="366">
        <f t="shared" ref="F10:F32" si="1">IF(O10,C10*E10,"")</f>
        <v>8.4685693193912943</v>
      </c>
      <c r="G10" s="366">
        <f t="shared" ref="G10:G32" si="2">IF(N10,E10/E$33,"")</f>
        <v>0.50296733292242668</v>
      </c>
      <c r="H10" s="294">
        <f t="shared" ref="H10:H32" si="3">IF(O10,C10-1.96*D10,"")</f>
        <v>-9.0263099529500096E-2</v>
      </c>
      <c r="I10" s="37">
        <f t="shared" ref="I10:I32" si="4">IF(O10,C10+1.96*D10,"")</f>
        <v>0.56829690047049997</v>
      </c>
      <c r="J10" s="514"/>
      <c r="K10" s="517" t="str">
        <f>IF(P10,(C10-J10)/D10,"")</f>
        <v/>
      </c>
      <c r="L10" s="518" t="str">
        <f>IF(P10,IF(2*(1-_xlfn.NORM.DIST(ABS(K10),0,1,TRUE))&gt;=0.001,2*(1-_xlfn.NORM.DIST(ABS(K10),0,1,TRUE)),"&lt;0.001"),"")</f>
        <v/>
      </c>
      <c r="M10" s="429"/>
      <c r="N10" s="429" t="b">
        <f t="shared" ref="N10:N32" si="5">D10&gt;0</f>
        <v>1</v>
      </c>
      <c r="O10" s="429" t="b">
        <f t="shared" ref="O10:O32" si="6">AND(N10,NOT(ISBLANK(C10)))</f>
        <v>1</v>
      </c>
      <c r="P10" t="b">
        <f>AND(O10,NOT(ISBLANK(J10)))</f>
        <v>0</v>
      </c>
    </row>
    <row r="11" spans="1:16" ht="12.75" customHeight="1" x14ac:dyDescent="0.2">
      <c r="A11" s="442">
        <v>2</v>
      </c>
      <c r="B11" s="265" t="s">
        <v>256</v>
      </c>
      <c r="C11" s="213">
        <f>LN(1.69)</f>
        <v>0.52472852893498212</v>
      </c>
      <c r="D11" s="509">
        <v>0.16900000000000001</v>
      </c>
      <c r="E11" s="91">
        <f t="shared" si="0"/>
        <v>35.012779664577565</v>
      </c>
      <c r="F11" s="91">
        <f t="shared" si="1"/>
        <v>18.372204367318442</v>
      </c>
      <c r="G11" s="91">
        <f t="shared" si="2"/>
        <v>0.49703266707757326</v>
      </c>
      <c r="H11" s="438">
        <f t="shared" si="3"/>
        <v>0.19348852893498208</v>
      </c>
      <c r="I11" s="35">
        <f t="shared" si="4"/>
        <v>0.8559685289349821</v>
      </c>
      <c r="J11" s="515"/>
      <c r="K11" s="519" t="str">
        <f t="shared" ref="K11:K32" si="7">IF(P11,(C11-J11)/D11,"")</f>
        <v/>
      </c>
      <c r="L11" s="520" t="str">
        <f t="shared" ref="L11:L32" si="8">IF(P11,IF(2*(1-_xlfn.NORM.DIST(ABS(K11),0,1,TRUE))&gt;=0.001,2*(1-_xlfn.NORM.DIST(ABS(K11),0,1,TRUE)),"&lt;0.001"),"")</f>
        <v/>
      </c>
      <c r="M11" s="429"/>
      <c r="N11" s="429" t="b">
        <f t="shared" si="5"/>
        <v>1</v>
      </c>
      <c r="O11" s="429" t="b">
        <f t="shared" si="6"/>
        <v>1</v>
      </c>
      <c r="P11" s="429" t="b">
        <f t="shared" ref="P11:P32" si="9">AND(O11,NOT(ISBLANK(J11)))</f>
        <v>0</v>
      </c>
    </row>
    <row r="12" spans="1:16" ht="12.75" customHeight="1" x14ac:dyDescent="0.2">
      <c r="A12" s="442">
        <v>3</v>
      </c>
      <c r="B12" s="265"/>
      <c r="C12" s="213"/>
      <c r="D12" s="509"/>
      <c r="E12" s="91" t="str">
        <f t="shared" si="0"/>
        <v/>
      </c>
      <c r="F12" s="91" t="str">
        <f t="shared" si="1"/>
        <v/>
      </c>
      <c r="G12" s="91" t="str">
        <f t="shared" si="2"/>
        <v/>
      </c>
      <c r="H12" s="438" t="str">
        <f t="shared" si="3"/>
        <v/>
      </c>
      <c r="I12" s="35" t="str">
        <f t="shared" si="4"/>
        <v/>
      </c>
      <c r="J12" s="515"/>
      <c r="K12" s="519" t="str">
        <f t="shared" si="7"/>
        <v/>
      </c>
      <c r="L12" s="520" t="str">
        <f t="shared" si="8"/>
        <v/>
      </c>
      <c r="M12" s="429"/>
      <c r="N12" s="429" t="b">
        <f t="shared" si="5"/>
        <v>0</v>
      </c>
      <c r="O12" s="429" t="b">
        <f t="shared" si="6"/>
        <v>0</v>
      </c>
      <c r="P12" s="429" t="b">
        <f t="shared" si="9"/>
        <v>0</v>
      </c>
    </row>
    <row r="13" spans="1:16" ht="12.75" customHeight="1" x14ac:dyDescent="0.2">
      <c r="A13" s="442">
        <v>4</v>
      </c>
      <c r="B13" s="265"/>
      <c r="C13" s="213"/>
      <c r="D13" s="509"/>
      <c r="E13" s="91" t="str">
        <f t="shared" si="0"/>
        <v/>
      </c>
      <c r="F13" s="91" t="str">
        <f t="shared" si="1"/>
        <v/>
      </c>
      <c r="G13" s="91" t="str">
        <f t="shared" si="2"/>
        <v/>
      </c>
      <c r="H13" s="438" t="str">
        <f t="shared" si="3"/>
        <v/>
      </c>
      <c r="I13" s="35" t="str">
        <f t="shared" si="4"/>
        <v/>
      </c>
      <c r="J13" s="515"/>
      <c r="K13" s="519" t="str">
        <f t="shared" si="7"/>
        <v/>
      </c>
      <c r="L13" s="520" t="str">
        <f t="shared" si="8"/>
        <v/>
      </c>
      <c r="M13" s="429"/>
      <c r="N13" s="429" t="b">
        <f t="shared" si="5"/>
        <v>0</v>
      </c>
      <c r="O13" s="429" t="b">
        <f t="shared" si="6"/>
        <v>0</v>
      </c>
      <c r="P13" s="429" t="b">
        <f t="shared" si="9"/>
        <v>0</v>
      </c>
    </row>
    <row r="14" spans="1:16" ht="12.75" customHeight="1" x14ac:dyDescent="0.2">
      <c r="A14" s="442">
        <v>5</v>
      </c>
      <c r="B14" s="265"/>
      <c r="C14" s="213"/>
      <c r="D14" s="509"/>
      <c r="E14" s="91" t="str">
        <f t="shared" si="0"/>
        <v/>
      </c>
      <c r="F14" s="91" t="str">
        <f t="shared" si="1"/>
        <v/>
      </c>
      <c r="G14" s="91" t="str">
        <f t="shared" si="2"/>
        <v/>
      </c>
      <c r="H14" s="438" t="str">
        <f t="shared" si="3"/>
        <v/>
      </c>
      <c r="I14" s="35" t="str">
        <f t="shared" si="4"/>
        <v/>
      </c>
      <c r="J14" s="515"/>
      <c r="K14" s="519" t="str">
        <f t="shared" si="7"/>
        <v/>
      </c>
      <c r="L14" s="520" t="str">
        <f t="shared" si="8"/>
        <v/>
      </c>
      <c r="M14" s="429"/>
      <c r="N14" s="429" t="b">
        <f t="shared" si="5"/>
        <v>0</v>
      </c>
      <c r="O14" s="429" t="b">
        <f t="shared" si="6"/>
        <v>0</v>
      </c>
      <c r="P14" s="429" t="b">
        <f t="shared" si="9"/>
        <v>0</v>
      </c>
    </row>
    <row r="15" spans="1:16" ht="12.75" customHeight="1" x14ac:dyDescent="0.2">
      <c r="A15" s="442">
        <v>6</v>
      </c>
      <c r="B15" s="265"/>
      <c r="C15" s="213"/>
      <c r="D15" s="509"/>
      <c r="E15" s="91" t="str">
        <f t="shared" si="0"/>
        <v/>
      </c>
      <c r="F15" s="91" t="str">
        <f t="shared" si="1"/>
        <v/>
      </c>
      <c r="G15" s="91" t="str">
        <f t="shared" si="2"/>
        <v/>
      </c>
      <c r="H15" s="438" t="str">
        <f t="shared" si="3"/>
        <v/>
      </c>
      <c r="I15" s="35" t="str">
        <f t="shared" si="4"/>
        <v/>
      </c>
      <c r="J15" s="515"/>
      <c r="K15" s="519" t="str">
        <f t="shared" si="7"/>
        <v/>
      </c>
      <c r="L15" s="520" t="str">
        <f t="shared" si="8"/>
        <v/>
      </c>
      <c r="M15" s="429"/>
      <c r="N15" s="429" t="b">
        <f t="shared" si="5"/>
        <v>0</v>
      </c>
      <c r="O15" s="429" t="b">
        <f t="shared" si="6"/>
        <v>0</v>
      </c>
      <c r="P15" s="429" t="b">
        <f t="shared" si="9"/>
        <v>0</v>
      </c>
    </row>
    <row r="16" spans="1:16" ht="12.75" customHeight="1" x14ac:dyDescent="0.2">
      <c r="A16" s="442">
        <v>7</v>
      </c>
      <c r="B16" s="265"/>
      <c r="C16" s="213"/>
      <c r="D16" s="509"/>
      <c r="E16" s="91" t="str">
        <f t="shared" si="0"/>
        <v/>
      </c>
      <c r="F16" s="91" t="str">
        <f t="shared" si="1"/>
        <v/>
      </c>
      <c r="G16" s="91" t="str">
        <f t="shared" si="2"/>
        <v/>
      </c>
      <c r="H16" s="438" t="str">
        <f t="shared" si="3"/>
        <v/>
      </c>
      <c r="I16" s="35" t="str">
        <f t="shared" si="4"/>
        <v/>
      </c>
      <c r="J16" s="515"/>
      <c r="K16" s="519" t="str">
        <f t="shared" si="7"/>
        <v/>
      </c>
      <c r="L16" s="520" t="str">
        <f t="shared" si="8"/>
        <v/>
      </c>
      <c r="M16" s="429"/>
      <c r="N16" s="429" t="b">
        <f t="shared" si="5"/>
        <v>0</v>
      </c>
      <c r="O16" s="429" t="b">
        <f t="shared" si="6"/>
        <v>0</v>
      </c>
      <c r="P16" s="429" t="b">
        <f t="shared" si="9"/>
        <v>0</v>
      </c>
    </row>
    <row r="17" spans="1:16" ht="12.75" customHeight="1" x14ac:dyDescent="0.2">
      <c r="A17" s="442">
        <v>8</v>
      </c>
      <c r="B17" s="265"/>
      <c r="C17" s="213"/>
      <c r="D17" s="509"/>
      <c r="E17" s="91" t="str">
        <f t="shared" si="0"/>
        <v/>
      </c>
      <c r="F17" s="91" t="str">
        <f t="shared" si="1"/>
        <v/>
      </c>
      <c r="G17" s="91" t="str">
        <f t="shared" si="2"/>
        <v/>
      </c>
      <c r="H17" s="438" t="str">
        <f t="shared" si="3"/>
        <v/>
      </c>
      <c r="I17" s="35" t="str">
        <f t="shared" si="4"/>
        <v/>
      </c>
      <c r="J17" s="515"/>
      <c r="K17" s="519" t="str">
        <f t="shared" si="7"/>
        <v/>
      </c>
      <c r="L17" s="520" t="str">
        <f t="shared" si="8"/>
        <v/>
      </c>
      <c r="M17" s="429"/>
      <c r="N17" s="429" t="b">
        <f t="shared" si="5"/>
        <v>0</v>
      </c>
      <c r="O17" s="429" t="b">
        <f t="shared" si="6"/>
        <v>0</v>
      </c>
      <c r="P17" s="429" t="b">
        <f t="shared" si="9"/>
        <v>0</v>
      </c>
    </row>
    <row r="18" spans="1:16" ht="12.75" customHeight="1" x14ac:dyDescent="0.2">
      <c r="A18" s="442">
        <v>9</v>
      </c>
      <c r="B18" s="265"/>
      <c r="C18" s="213"/>
      <c r="D18" s="509"/>
      <c r="E18" s="91" t="str">
        <f t="shared" si="0"/>
        <v/>
      </c>
      <c r="F18" s="91" t="str">
        <f t="shared" si="1"/>
        <v/>
      </c>
      <c r="G18" s="91" t="str">
        <f t="shared" si="2"/>
        <v/>
      </c>
      <c r="H18" s="438" t="str">
        <f t="shared" si="3"/>
        <v/>
      </c>
      <c r="I18" s="35" t="str">
        <f t="shared" si="4"/>
        <v/>
      </c>
      <c r="J18" s="515"/>
      <c r="K18" s="519" t="str">
        <f t="shared" si="7"/>
        <v/>
      </c>
      <c r="L18" s="520" t="str">
        <f t="shared" si="8"/>
        <v/>
      </c>
      <c r="M18" s="429"/>
      <c r="N18" s="429" t="b">
        <f t="shared" si="5"/>
        <v>0</v>
      </c>
      <c r="O18" s="429" t="b">
        <f t="shared" si="6"/>
        <v>0</v>
      </c>
      <c r="P18" s="429" t="b">
        <f t="shared" si="9"/>
        <v>0</v>
      </c>
    </row>
    <row r="19" spans="1:16" ht="12.75" customHeight="1" x14ac:dyDescent="0.2">
      <c r="A19" s="442">
        <v>10</v>
      </c>
      <c r="B19" s="265"/>
      <c r="C19" s="213"/>
      <c r="D19" s="509"/>
      <c r="E19" s="91" t="str">
        <f t="shared" si="0"/>
        <v/>
      </c>
      <c r="F19" s="91" t="str">
        <f t="shared" si="1"/>
        <v/>
      </c>
      <c r="G19" s="91" t="str">
        <f t="shared" si="2"/>
        <v/>
      </c>
      <c r="H19" s="438" t="str">
        <f t="shared" si="3"/>
        <v/>
      </c>
      <c r="I19" s="35" t="str">
        <f t="shared" si="4"/>
        <v/>
      </c>
      <c r="J19" s="515"/>
      <c r="K19" s="519" t="str">
        <f t="shared" si="7"/>
        <v/>
      </c>
      <c r="L19" s="520" t="str">
        <f t="shared" si="8"/>
        <v/>
      </c>
      <c r="M19" s="429"/>
      <c r="N19" s="429" t="b">
        <f t="shared" si="5"/>
        <v>0</v>
      </c>
      <c r="O19" s="429" t="b">
        <f t="shared" si="6"/>
        <v>0</v>
      </c>
      <c r="P19" s="429" t="b">
        <f t="shared" si="9"/>
        <v>0</v>
      </c>
    </row>
    <row r="20" spans="1:16" ht="12.75" customHeight="1" x14ac:dyDescent="0.2">
      <c r="A20" s="442">
        <v>11</v>
      </c>
      <c r="B20" s="265"/>
      <c r="C20" s="213"/>
      <c r="D20" s="509"/>
      <c r="E20" s="91" t="str">
        <f t="shared" si="0"/>
        <v/>
      </c>
      <c r="F20" s="91" t="str">
        <f t="shared" si="1"/>
        <v/>
      </c>
      <c r="G20" s="91" t="str">
        <f t="shared" si="2"/>
        <v/>
      </c>
      <c r="H20" s="438" t="str">
        <f t="shared" si="3"/>
        <v/>
      </c>
      <c r="I20" s="35" t="str">
        <f t="shared" si="4"/>
        <v/>
      </c>
      <c r="J20" s="515"/>
      <c r="K20" s="519" t="str">
        <f t="shared" si="7"/>
        <v/>
      </c>
      <c r="L20" s="520" t="str">
        <f t="shared" si="8"/>
        <v/>
      </c>
      <c r="M20" s="429"/>
      <c r="N20" s="429" t="b">
        <f t="shared" si="5"/>
        <v>0</v>
      </c>
      <c r="O20" s="429" t="b">
        <f t="shared" si="6"/>
        <v>0</v>
      </c>
      <c r="P20" s="429" t="b">
        <f t="shared" si="9"/>
        <v>0</v>
      </c>
    </row>
    <row r="21" spans="1:16" ht="12.75" customHeight="1" x14ac:dyDescent="0.2">
      <c r="A21" s="442">
        <v>12</v>
      </c>
      <c r="B21" s="265"/>
      <c r="C21" s="213"/>
      <c r="D21" s="509"/>
      <c r="E21" s="91" t="str">
        <f t="shared" si="0"/>
        <v/>
      </c>
      <c r="F21" s="91" t="str">
        <f t="shared" si="1"/>
        <v/>
      </c>
      <c r="G21" s="91" t="str">
        <f t="shared" si="2"/>
        <v/>
      </c>
      <c r="H21" s="438" t="str">
        <f t="shared" si="3"/>
        <v/>
      </c>
      <c r="I21" s="35" t="str">
        <f t="shared" si="4"/>
        <v/>
      </c>
      <c r="J21" s="515"/>
      <c r="K21" s="519" t="str">
        <f t="shared" si="7"/>
        <v/>
      </c>
      <c r="L21" s="520" t="str">
        <f t="shared" si="8"/>
        <v/>
      </c>
      <c r="M21" s="429"/>
      <c r="N21" s="429" t="b">
        <f t="shared" si="5"/>
        <v>0</v>
      </c>
      <c r="O21" s="429" t="b">
        <f t="shared" si="6"/>
        <v>0</v>
      </c>
      <c r="P21" s="429" t="b">
        <f t="shared" si="9"/>
        <v>0</v>
      </c>
    </row>
    <row r="22" spans="1:16" ht="12.75" customHeight="1" x14ac:dyDescent="0.2">
      <c r="A22" s="442">
        <v>13</v>
      </c>
      <c r="B22" s="265"/>
      <c r="C22" s="213"/>
      <c r="D22" s="509"/>
      <c r="E22" s="91" t="str">
        <f t="shared" si="0"/>
        <v/>
      </c>
      <c r="F22" s="91" t="str">
        <f t="shared" si="1"/>
        <v/>
      </c>
      <c r="G22" s="91" t="str">
        <f t="shared" si="2"/>
        <v/>
      </c>
      <c r="H22" s="438" t="str">
        <f t="shared" si="3"/>
        <v/>
      </c>
      <c r="I22" s="35" t="str">
        <f t="shared" si="4"/>
        <v/>
      </c>
      <c r="J22" s="515"/>
      <c r="K22" s="519" t="str">
        <f t="shared" si="7"/>
        <v/>
      </c>
      <c r="L22" s="520" t="str">
        <f t="shared" si="8"/>
        <v/>
      </c>
      <c r="M22" s="429"/>
      <c r="N22" s="429" t="b">
        <f t="shared" si="5"/>
        <v>0</v>
      </c>
      <c r="O22" s="429" t="b">
        <f t="shared" si="6"/>
        <v>0</v>
      </c>
      <c r="P22" s="429" t="b">
        <f t="shared" si="9"/>
        <v>0</v>
      </c>
    </row>
    <row r="23" spans="1:16" ht="12.75" customHeight="1" x14ac:dyDescent="0.2">
      <c r="A23" s="442">
        <v>14</v>
      </c>
      <c r="B23" s="265"/>
      <c r="C23" s="213"/>
      <c r="D23" s="509"/>
      <c r="E23" s="91" t="str">
        <f t="shared" si="0"/>
        <v/>
      </c>
      <c r="F23" s="91" t="str">
        <f t="shared" si="1"/>
        <v/>
      </c>
      <c r="G23" s="91" t="str">
        <f t="shared" si="2"/>
        <v/>
      </c>
      <c r="H23" s="438" t="str">
        <f t="shared" si="3"/>
        <v/>
      </c>
      <c r="I23" s="35" t="str">
        <f t="shared" si="4"/>
        <v/>
      </c>
      <c r="J23" s="515"/>
      <c r="K23" s="519" t="str">
        <f t="shared" si="7"/>
        <v/>
      </c>
      <c r="L23" s="520" t="str">
        <f t="shared" si="8"/>
        <v/>
      </c>
      <c r="M23" s="429"/>
      <c r="N23" s="429" t="b">
        <f t="shared" si="5"/>
        <v>0</v>
      </c>
      <c r="O23" s="429" t="b">
        <f t="shared" si="6"/>
        <v>0</v>
      </c>
      <c r="P23" s="429" t="b">
        <f t="shared" si="9"/>
        <v>0</v>
      </c>
    </row>
    <row r="24" spans="1:16" ht="12.75" customHeight="1" x14ac:dyDescent="0.2">
      <c r="A24" s="442">
        <v>15</v>
      </c>
      <c r="B24" s="265"/>
      <c r="C24" s="213"/>
      <c r="D24" s="509"/>
      <c r="E24" s="91" t="str">
        <f t="shared" si="0"/>
        <v/>
      </c>
      <c r="F24" s="91" t="str">
        <f t="shared" si="1"/>
        <v/>
      </c>
      <c r="G24" s="91" t="str">
        <f t="shared" si="2"/>
        <v/>
      </c>
      <c r="H24" s="438" t="str">
        <f t="shared" si="3"/>
        <v/>
      </c>
      <c r="I24" s="35" t="str">
        <f t="shared" si="4"/>
        <v/>
      </c>
      <c r="J24" s="515"/>
      <c r="K24" s="519" t="str">
        <f t="shared" si="7"/>
        <v/>
      </c>
      <c r="L24" s="520" t="str">
        <f t="shared" si="8"/>
        <v/>
      </c>
      <c r="M24" s="429"/>
      <c r="N24" s="429" t="b">
        <f t="shared" si="5"/>
        <v>0</v>
      </c>
      <c r="O24" s="429" t="b">
        <f t="shared" si="6"/>
        <v>0</v>
      </c>
      <c r="P24" s="429" t="b">
        <f t="shared" si="9"/>
        <v>0</v>
      </c>
    </row>
    <row r="25" spans="1:16" ht="12.75" customHeight="1" x14ac:dyDescent="0.2">
      <c r="A25" s="442">
        <v>16</v>
      </c>
      <c r="B25" s="265"/>
      <c r="C25" s="213"/>
      <c r="D25" s="509"/>
      <c r="E25" s="91" t="str">
        <f t="shared" si="0"/>
        <v/>
      </c>
      <c r="F25" s="91" t="str">
        <f t="shared" si="1"/>
        <v/>
      </c>
      <c r="G25" s="91" t="str">
        <f t="shared" si="2"/>
        <v/>
      </c>
      <c r="H25" s="438" t="str">
        <f t="shared" si="3"/>
        <v/>
      </c>
      <c r="I25" s="35" t="str">
        <f t="shared" si="4"/>
        <v/>
      </c>
      <c r="J25" s="515"/>
      <c r="K25" s="519" t="str">
        <f t="shared" si="7"/>
        <v/>
      </c>
      <c r="L25" s="520" t="str">
        <f t="shared" si="8"/>
        <v/>
      </c>
      <c r="M25" s="429"/>
      <c r="N25" s="429" t="b">
        <f t="shared" si="5"/>
        <v>0</v>
      </c>
      <c r="O25" s="429" t="b">
        <f t="shared" si="6"/>
        <v>0</v>
      </c>
      <c r="P25" s="429" t="b">
        <f t="shared" si="9"/>
        <v>0</v>
      </c>
    </row>
    <row r="26" spans="1:16" ht="12.75" customHeight="1" x14ac:dyDescent="0.2">
      <c r="A26" s="442">
        <v>17</v>
      </c>
      <c r="B26" s="265"/>
      <c r="C26" s="213"/>
      <c r="D26" s="509"/>
      <c r="E26" s="91" t="str">
        <f t="shared" si="0"/>
        <v/>
      </c>
      <c r="F26" s="91" t="str">
        <f t="shared" si="1"/>
        <v/>
      </c>
      <c r="G26" s="91" t="str">
        <f t="shared" si="2"/>
        <v/>
      </c>
      <c r="H26" s="438" t="str">
        <f t="shared" si="3"/>
        <v/>
      </c>
      <c r="I26" s="35" t="str">
        <f t="shared" si="4"/>
        <v/>
      </c>
      <c r="J26" s="515"/>
      <c r="K26" s="519" t="str">
        <f t="shared" si="7"/>
        <v/>
      </c>
      <c r="L26" s="520" t="str">
        <f t="shared" si="8"/>
        <v/>
      </c>
      <c r="M26" s="429"/>
      <c r="N26" s="429" t="b">
        <f t="shared" si="5"/>
        <v>0</v>
      </c>
      <c r="O26" s="429" t="b">
        <f t="shared" si="6"/>
        <v>0</v>
      </c>
      <c r="P26" s="429" t="b">
        <f t="shared" si="9"/>
        <v>0</v>
      </c>
    </row>
    <row r="27" spans="1:16" ht="12.75" customHeight="1" x14ac:dyDescent="0.2">
      <c r="A27" s="442">
        <v>18</v>
      </c>
      <c r="B27" s="265"/>
      <c r="C27" s="213"/>
      <c r="D27" s="509"/>
      <c r="E27" s="91" t="str">
        <f t="shared" si="0"/>
        <v/>
      </c>
      <c r="F27" s="91" t="str">
        <f t="shared" si="1"/>
        <v/>
      </c>
      <c r="G27" s="91" t="str">
        <f t="shared" si="2"/>
        <v/>
      </c>
      <c r="H27" s="438" t="str">
        <f t="shared" si="3"/>
        <v/>
      </c>
      <c r="I27" s="35" t="str">
        <f t="shared" si="4"/>
        <v/>
      </c>
      <c r="J27" s="515"/>
      <c r="K27" s="519" t="str">
        <f t="shared" si="7"/>
        <v/>
      </c>
      <c r="L27" s="520" t="str">
        <f t="shared" si="8"/>
        <v/>
      </c>
      <c r="M27" s="429"/>
      <c r="N27" s="429" t="b">
        <f t="shared" si="5"/>
        <v>0</v>
      </c>
      <c r="O27" s="429" t="b">
        <f t="shared" si="6"/>
        <v>0</v>
      </c>
      <c r="P27" s="429" t="b">
        <f t="shared" si="9"/>
        <v>0</v>
      </c>
    </row>
    <row r="28" spans="1:16" ht="12.75" customHeight="1" x14ac:dyDescent="0.2">
      <c r="A28" s="442">
        <v>19</v>
      </c>
      <c r="B28" s="265"/>
      <c r="C28" s="213"/>
      <c r="D28" s="509"/>
      <c r="E28" s="91" t="str">
        <f t="shared" si="0"/>
        <v/>
      </c>
      <c r="F28" s="91" t="str">
        <f t="shared" si="1"/>
        <v/>
      </c>
      <c r="G28" s="91" t="str">
        <f t="shared" si="2"/>
        <v/>
      </c>
      <c r="H28" s="438" t="str">
        <f t="shared" si="3"/>
        <v/>
      </c>
      <c r="I28" s="35" t="str">
        <f t="shared" si="4"/>
        <v/>
      </c>
      <c r="J28" s="515"/>
      <c r="K28" s="519" t="str">
        <f t="shared" si="7"/>
        <v/>
      </c>
      <c r="L28" s="520" t="str">
        <f t="shared" si="8"/>
        <v/>
      </c>
      <c r="M28" s="429"/>
      <c r="N28" s="429" t="b">
        <f t="shared" si="5"/>
        <v>0</v>
      </c>
      <c r="O28" s="429" t="b">
        <f t="shared" si="6"/>
        <v>0</v>
      </c>
      <c r="P28" s="429" t="b">
        <f t="shared" si="9"/>
        <v>0</v>
      </c>
    </row>
    <row r="29" spans="1:16" ht="12.75" customHeight="1" x14ac:dyDescent="0.2">
      <c r="A29" s="442">
        <v>20</v>
      </c>
      <c r="B29" s="265"/>
      <c r="C29" s="213"/>
      <c r="D29" s="509"/>
      <c r="E29" s="91" t="str">
        <f t="shared" si="0"/>
        <v/>
      </c>
      <c r="F29" s="91" t="str">
        <f t="shared" si="1"/>
        <v/>
      </c>
      <c r="G29" s="91" t="str">
        <f t="shared" si="2"/>
        <v/>
      </c>
      <c r="H29" s="438" t="str">
        <f t="shared" si="3"/>
        <v/>
      </c>
      <c r="I29" s="35" t="str">
        <f t="shared" si="4"/>
        <v/>
      </c>
      <c r="J29" s="515"/>
      <c r="K29" s="519" t="str">
        <f t="shared" si="7"/>
        <v/>
      </c>
      <c r="L29" s="520" t="str">
        <f t="shared" si="8"/>
        <v/>
      </c>
      <c r="M29" s="429"/>
      <c r="N29" s="429" t="b">
        <f t="shared" si="5"/>
        <v>0</v>
      </c>
      <c r="O29" s="429" t="b">
        <f t="shared" si="6"/>
        <v>0</v>
      </c>
      <c r="P29" s="429" t="b">
        <f t="shared" si="9"/>
        <v>0</v>
      </c>
    </row>
    <row r="30" spans="1:16" ht="12.75" customHeight="1" x14ac:dyDescent="0.2">
      <c r="A30" s="442">
        <v>21</v>
      </c>
      <c r="B30" s="265"/>
      <c r="C30" s="213"/>
      <c r="D30" s="509"/>
      <c r="E30" s="91" t="str">
        <f t="shared" si="0"/>
        <v/>
      </c>
      <c r="F30" s="91" t="str">
        <f t="shared" si="1"/>
        <v/>
      </c>
      <c r="G30" s="91" t="str">
        <f t="shared" si="2"/>
        <v/>
      </c>
      <c r="H30" s="438" t="str">
        <f t="shared" si="3"/>
        <v/>
      </c>
      <c r="I30" s="35" t="str">
        <f t="shared" si="4"/>
        <v/>
      </c>
      <c r="J30" s="515"/>
      <c r="K30" s="519" t="str">
        <f t="shared" si="7"/>
        <v/>
      </c>
      <c r="L30" s="520" t="str">
        <f t="shared" si="8"/>
        <v/>
      </c>
      <c r="M30" s="429"/>
      <c r="N30" s="429" t="b">
        <f t="shared" si="5"/>
        <v>0</v>
      </c>
      <c r="O30" s="429" t="b">
        <f t="shared" si="6"/>
        <v>0</v>
      </c>
      <c r="P30" s="429" t="b">
        <f t="shared" si="9"/>
        <v>0</v>
      </c>
    </row>
    <row r="31" spans="1:16" ht="12.75" customHeight="1" x14ac:dyDescent="0.2">
      <c r="A31" s="442">
        <v>22</v>
      </c>
      <c r="B31" s="265"/>
      <c r="C31" s="213"/>
      <c r="D31" s="509"/>
      <c r="E31" s="91" t="str">
        <f t="shared" si="0"/>
        <v/>
      </c>
      <c r="F31" s="91" t="str">
        <f t="shared" si="1"/>
        <v/>
      </c>
      <c r="G31" s="91" t="str">
        <f t="shared" si="2"/>
        <v/>
      </c>
      <c r="H31" s="438" t="str">
        <f t="shared" si="3"/>
        <v/>
      </c>
      <c r="I31" s="35" t="str">
        <f t="shared" si="4"/>
        <v/>
      </c>
      <c r="J31" s="515"/>
      <c r="K31" s="519" t="str">
        <f t="shared" si="7"/>
        <v/>
      </c>
      <c r="L31" s="520" t="str">
        <f t="shared" si="8"/>
        <v/>
      </c>
      <c r="M31" s="429"/>
      <c r="N31" s="429" t="b">
        <f t="shared" si="5"/>
        <v>0</v>
      </c>
      <c r="O31" s="429" t="b">
        <f t="shared" si="6"/>
        <v>0</v>
      </c>
      <c r="P31" s="429" t="b">
        <f t="shared" si="9"/>
        <v>0</v>
      </c>
    </row>
    <row r="32" spans="1:16" ht="12.75" customHeight="1" x14ac:dyDescent="0.2">
      <c r="A32" s="442">
        <v>23</v>
      </c>
      <c r="B32" s="266"/>
      <c r="C32" s="214"/>
      <c r="D32" s="510"/>
      <c r="E32" s="218" t="str">
        <f t="shared" si="0"/>
        <v/>
      </c>
      <c r="F32" s="218" t="str">
        <f t="shared" si="1"/>
        <v/>
      </c>
      <c r="G32" s="218" t="str">
        <f t="shared" si="2"/>
        <v/>
      </c>
      <c r="H32" s="444" t="str">
        <f t="shared" si="3"/>
        <v/>
      </c>
      <c r="I32" s="29" t="str">
        <f t="shared" si="4"/>
        <v/>
      </c>
      <c r="J32" s="516"/>
      <c r="K32" s="521" t="str">
        <f t="shared" si="7"/>
        <v/>
      </c>
      <c r="L32" s="522" t="str">
        <f t="shared" si="8"/>
        <v/>
      </c>
      <c r="M32" s="429"/>
      <c r="N32" s="429" t="b">
        <f t="shared" si="5"/>
        <v>0</v>
      </c>
      <c r="O32" s="429" t="b">
        <f t="shared" si="6"/>
        <v>0</v>
      </c>
      <c r="P32" s="429" t="b">
        <f t="shared" si="9"/>
        <v>0</v>
      </c>
    </row>
    <row r="33" spans="1:16" ht="12.75" customHeight="1" x14ac:dyDescent="0.2">
      <c r="A33" s="45"/>
      <c r="B33" s="45" t="s">
        <v>94</v>
      </c>
      <c r="C33" s="129"/>
      <c r="D33" s="206"/>
      <c r="E33" s="511">
        <f>IF(N33,SUM(E10:E32),"")</f>
        <v>70.44361866684514</v>
      </c>
      <c r="F33" s="512">
        <f>IF(O33,SUM(F10:F32),"")</f>
        <v>26.840773686709738</v>
      </c>
      <c r="G33" s="197">
        <f>IF(O33,E33/E$33,"")</f>
        <v>1</v>
      </c>
      <c r="H33" s="19"/>
      <c r="I33" s="19"/>
      <c r="J33" s="429"/>
      <c r="K33" s="429"/>
      <c r="L33" s="429"/>
      <c r="M33" s="429"/>
      <c r="N33" s="429" t="b">
        <f>OR(N10:N32)</f>
        <v>1</v>
      </c>
      <c r="O33" s="429" t="b">
        <f>OR(O10:O32)</f>
        <v>1</v>
      </c>
    </row>
    <row r="34" spans="1:16" ht="12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</row>
    <row r="35" spans="1:16" s="202" customFormat="1" ht="12.75" customHeight="1" x14ac:dyDescent="0.2">
      <c r="A35" s="19"/>
      <c r="B35" s="135" t="s">
        <v>16</v>
      </c>
      <c r="C35" s="19"/>
      <c r="D35" s="19"/>
      <c r="E35" s="19"/>
      <c r="F35" s="19"/>
      <c r="G35" s="19"/>
      <c r="H35" s="19"/>
      <c r="I35" s="19"/>
    </row>
    <row r="36" spans="1:16" ht="12.75" customHeight="1" x14ac:dyDescent="0.2">
      <c r="A36" s="19"/>
      <c r="B36" s="375"/>
      <c r="C36" s="431" t="s">
        <v>74</v>
      </c>
      <c r="D36" s="442" t="s">
        <v>2</v>
      </c>
      <c r="E36" s="675" t="s">
        <v>12</v>
      </c>
      <c r="F36" s="677"/>
      <c r="G36" s="19"/>
      <c r="H36" s="19"/>
      <c r="I36" s="19"/>
    </row>
    <row r="37" spans="1:16" ht="12.75" customHeight="1" x14ac:dyDescent="0.2">
      <c r="A37" s="19"/>
      <c r="B37" s="263" t="s">
        <v>106</v>
      </c>
      <c r="C37" s="204">
        <f>IF(O37,F33/E33,"")</f>
        <v>0.38102491318127824</v>
      </c>
      <c r="D37" s="204">
        <f>IF(O37,SQRT(1/E33),"")</f>
        <v>0.11914591895823613</v>
      </c>
      <c r="E37" s="436">
        <f>IF(O37,C37-1.96*D37,"")</f>
        <v>0.14749891202313542</v>
      </c>
      <c r="F37" s="206">
        <f>IF(O37,C37+1.96*D37,"")</f>
        <v>0.61455091433942099</v>
      </c>
      <c r="G37" s="19"/>
      <c r="H37" s="19"/>
      <c r="I37" s="19"/>
      <c r="O37" t="b">
        <f>OR(O10:O32)</f>
        <v>1</v>
      </c>
    </row>
    <row r="38" spans="1:16" ht="12.75" customHeight="1" x14ac:dyDescent="0.2">
      <c r="A38" s="19"/>
      <c r="B38" s="45" t="s">
        <v>221</v>
      </c>
      <c r="C38" s="274">
        <f>IF(O37,EXP(C37),"")</f>
        <v>1.463784072473421</v>
      </c>
      <c r="D38" s="276"/>
      <c r="E38" s="274">
        <f>IF(O37,EXP(E37),"")</f>
        <v>1.1589320239378353</v>
      </c>
      <c r="F38" s="274">
        <f>IF(O37,EXP(F37),"")</f>
        <v>1.8488261317920101</v>
      </c>
      <c r="G38" s="392"/>
      <c r="H38" s="19"/>
      <c r="I38" s="19"/>
    </row>
    <row r="39" spans="1:16" ht="12.7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</row>
    <row r="40" spans="1:16" ht="12.75" customHeight="1" x14ac:dyDescent="0.2">
      <c r="A40" s="19"/>
      <c r="B40" s="447" t="s">
        <v>151</v>
      </c>
      <c r="C40" s="370">
        <v>0</v>
      </c>
      <c r="D40" s="427" t="s">
        <v>14</v>
      </c>
      <c r="E40" s="404">
        <f>IF(O40,(C37-C40)/D37,"")</f>
        <v>3.1979686464530754</v>
      </c>
      <c r="F40" s="427" t="s">
        <v>203</v>
      </c>
      <c r="G40" s="404">
        <f>IF(O40,IF(2*(1-NORMSDIST(ABS(E40)))&gt;=0.001,2*(1-NORMSDIST(ABS(E40))),"&lt;0.001"),"")</f>
        <v>1.3839932701327218E-3</v>
      </c>
      <c r="H40" s="19"/>
      <c r="I40" s="19"/>
      <c r="O40" t="b">
        <f>AND(O37,NOT(ISBLANK(C40)))</f>
        <v>1</v>
      </c>
    </row>
    <row r="41" spans="1:16" ht="12.75" customHeight="1" x14ac:dyDescent="0.2">
      <c r="A41" s="19"/>
      <c r="B41" s="427" t="s">
        <v>221</v>
      </c>
      <c r="C41" s="32">
        <f>IF(O40,EXP(C40),"")</f>
        <v>1</v>
      </c>
      <c r="D41" s="19"/>
      <c r="E41" s="19"/>
      <c r="F41" s="19"/>
      <c r="G41" s="19"/>
      <c r="H41" s="19"/>
      <c r="I41" s="19"/>
    </row>
    <row r="42" spans="1:16" ht="12.75" customHeight="1" x14ac:dyDescent="0.2">
      <c r="B42" s="19"/>
      <c r="C42" s="19"/>
      <c r="D42" s="19"/>
      <c r="E42" s="19"/>
      <c r="F42" s="19"/>
      <c r="G42" s="19"/>
      <c r="H42" s="19"/>
      <c r="I42" s="19"/>
    </row>
    <row r="43" spans="1:16" ht="12.75" customHeight="1" x14ac:dyDescent="0.2">
      <c r="A43" s="392" t="s">
        <v>220</v>
      </c>
      <c r="I43" s="19"/>
    </row>
    <row r="44" spans="1:16" ht="12.75" customHeight="1" x14ac:dyDescent="0.2">
      <c r="I44" s="19"/>
    </row>
    <row r="45" spans="1:16" ht="12.75" customHeight="1" x14ac:dyDescent="0.2">
      <c r="A45" s="135" t="s">
        <v>223</v>
      </c>
      <c r="C45" s="19"/>
      <c r="D45" s="19"/>
      <c r="E45" s="19"/>
      <c r="F45" s="19"/>
      <c r="G45" s="19"/>
      <c r="H45" s="19"/>
      <c r="I45" s="19"/>
    </row>
    <row r="46" spans="1:16" ht="12.75" customHeight="1" x14ac:dyDescent="0.2">
      <c r="A46" s="442" t="s">
        <v>92</v>
      </c>
      <c r="B46" s="37" t="s">
        <v>158</v>
      </c>
      <c r="C46" s="37" t="s">
        <v>74</v>
      </c>
      <c r="D46" s="445" t="s">
        <v>2</v>
      </c>
      <c r="E46" s="32"/>
      <c r="F46" s="32"/>
      <c r="G46" s="19"/>
      <c r="H46" s="19"/>
      <c r="I46" s="19"/>
    </row>
    <row r="47" spans="1:16" ht="12.75" customHeight="1" x14ac:dyDescent="0.2">
      <c r="A47" s="523">
        <v>1</v>
      </c>
      <c r="B47" s="37" t="str">
        <f>IF(O47,P47,"")</f>
        <v>Rygere</v>
      </c>
      <c r="C47" s="387">
        <f>IF(O47,CHOOSE(A47,C10,C11,C12,C13,C14,C15,C16,C17,C18,C19,C20,C21,C22,C23,C24,C25,C26,C27,C28,C29,C30,C31,C32),"")</f>
        <v>0.23901690047049992</v>
      </c>
      <c r="D47" s="216">
        <f>IF(O47,CHOOSE(A47,D10,D11,D12,D13,D14,D15,D16,D17,D18,D19,D20,D21,D22,D23,D24,D25,D26,D27,D28,D29,D30,D31,D32),"")</f>
        <v>0.16800000000000001</v>
      </c>
      <c r="E47" s="32"/>
      <c r="F47" s="32"/>
      <c r="G47" s="19"/>
      <c r="H47" s="19"/>
      <c r="I47" s="19"/>
      <c r="O47" t="b">
        <f>IF(NOT(ISBLANK(A47)),CHOOSE(A47,O10,O11,O12,O13,O14,O15,O16,O17,O18,O19,O20,O21,O22,O23,O24,O25,O26,O27,O28,O29,O30,O31,O32),FALSE)</f>
        <v>1</v>
      </c>
      <c r="P47" t="str">
        <f>IF(ISBLANK(CHOOSE(A47,B10,B11,B12,B13,B14,B15,B16,B17,B18,B19,B20,B21,B22,B23,B24,B25,B26,B27,B28,B29,B30,B31,B32)),"",CHOOSE(A47,B10,B11,B12,B13,B14,B15,B16,B17,B18,B19,B20,B21,B22,B23,B24,B25,B26,B27,B28,B29,B30,B31,B32))</f>
        <v>Rygere</v>
      </c>
    </row>
    <row r="48" spans="1:16" ht="12.75" customHeight="1" x14ac:dyDescent="0.2">
      <c r="A48" s="523">
        <v>2</v>
      </c>
      <c r="B48" s="29" t="str">
        <f>IF(O48,P48,"")</f>
        <v>Ikke-rygere</v>
      </c>
      <c r="C48" s="367">
        <f>IF(O48,CHOOSE(A48,C10,C11,C12,C13,C14,C15,C16,C17,C18,C19,C20,C21,C22,C23,C24,C25,C26,C27,C28,C29,C30,C31,C32),"")</f>
        <v>0.52472852893498212</v>
      </c>
      <c r="D48" s="197">
        <f>IF(O48,CHOOSE(A48,D10,D11,D12,D13,D14,D15,D16,D17,D18,D19,D20,D21,D22,D23,D24,D25,D26,D27,D28,D29,D30,D31,D32),"")</f>
        <v>0.16900000000000001</v>
      </c>
      <c r="E48" s="675" t="s">
        <v>12</v>
      </c>
      <c r="F48" s="677"/>
      <c r="G48" s="19"/>
      <c r="H48" s="19"/>
      <c r="I48" s="19"/>
      <c r="O48" s="429" t="b">
        <f>IF(NOT(ISBLANK(A48)),CHOOSE(A48,O10,O11,O12,O13,O14,O15,O16,O17,O18,O19,O20,O21,O22,O23,O24,O25,O26,O27,O28,O29,O30,O31,O32),FALSE)</f>
        <v>1</v>
      </c>
      <c r="P48" t="str">
        <f>IF(ISBLANK(CHOOSE(A48,B10,B11,B12,B13,B14,B15,B16,B17,B18,B19,B20,B21,B22,B23,B24,B25,B26,B27,B28,B29,B30,B31,B32)),"",CHOOSE(A48,B10,B11,B12,B13,B14,B15,B16,B17,B18,B19,B20,B21,B22,B23,B24,B25,B26,B27,B28,B29,B30,B31,B32))</f>
        <v>Ikke-rygere</v>
      </c>
    </row>
    <row r="49" spans="1:15" ht="12.75" customHeight="1" x14ac:dyDescent="0.2">
      <c r="A49" s="19"/>
      <c r="B49" s="215" t="s">
        <v>67</v>
      </c>
      <c r="C49" s="197">
        <f>IF(O49,C47-C48,"")</f>
        <v>-0.28571162846448217</v>
      </c>
      <c r="D49" s="195">
        <f>IF(O49,SQRT(D47^2+D48^2),"")</f>
        <v>0.23829603437741048</v>
      </c>
      <c r="E49" s="218">
        <f>IF(O49,C49-1.96*D49,"")</f>
        <v>-0.75277185584420669</v>
      </c>
      <c r="F49" s="195">
        <f>IF(O49,C49+1.96*D49,"")</f>
        <v>0.18134859891524235</v>
      </c>
      <c r="G49" s="19"/>
      <c r="H49" s="19"/>
      <c r="I49" s="19"/>
      <c r="O49" t="b">
        <f>AND(O47,O48)</f>
        <v>1</v>
      </c>
    </row>
    <row r="50" spans="1:15" ht="12.75" customHeight="1" x14ac:dyDescent="0.2">
      <c r="A50" s="19"/>
      <c r="B50" s="45" t="s">
        <v>221</v>
      </c>
      <c r="C50" s="274">
        <f>IF(O49,EXP(C49),"")</f>
        <v>0.75147928994082847</v>
      </c>
      <c r="D50" s="276"/>
      <c r="E50" s="274">
        <f>IF(O49,EXP(E49),"")</f>
        <v>0.47105903371547703</v>
      </c>
      <c r="F50" s="274">
        <f>IF(O49,EXP(F49),"")</f>
        <v>1.1988330183496008</v>
      </c>
      <c r="G50" s="19"/>
      <c r="H50" s="19"/>
      <c r="I50" s="19"/>
    </row>
    <row r="51" spans="1:15" ht="12.75" customHeight="1" x14ac:dyDescent="0.2">
      <c r="A51" s="19"/>
      <c r="B51" s="26"/>
      <c r="C51" s="115"/>
      <c r="D51" s="115"/>
      <c r="E51" s="115"/>
      <c r="F51" s="115"/>
      <c r="G51" s="19"/>
      <c r="H51" s="19"/>
      <c r="I51" s="19"/>
    </row>
    <row r="52" spans="1:15" ht="12.75" customHeight="1" x14ac:dyDescent="0.2">
      <c r="A52" s="19"/>
      <c r="B52" s="260" t="s">
        <v>152</v>
      </c>
      <c r="C52" s="226">
        <v>0</v>
      </c>
      <c r="D52" s="259" t="s">
        <v>14</v>
      </c>
      <c r="E52" s="404">
        <f>IF(O52,(C49-C52)/D49,"")</f>
        <v>-1.1989776884493824</v>
      </c>
      <c r="F52" s="259" t="s">
        <v>203</v>
      </c>
      <c r="G52" s="404">
        <f>IF(O52,IF(2*(1-NORMSDIST(ABS(E52)))&gt;=0.001,2*(1-NORMSDIST(ABS(E52))),"&lt;0.001"),"")</f>
        <v>0.23053662130525665</v>
      </c>
      <c r="H52" s="19"/>
      <c r="O52" t="b">
        <f>AND(NOT(ISBLANK(C52)),O49)</f>
        <v>1</v>
      </c>
    </row>
    <row r="53" spans="1:15" ht="12.75" customHeight="1" x14ac:dyDescent="0.2">
      <c r="A53" s="19"/>
      <c r="B53" s="19"/>
      <c r="C53" s="19"/>
      <c r="D53" s="19"/>
      <c r="E53" s="32"/>
      <c r="F53" s="32"/>
      <c r="G53" s="19"/>
      <c r="H53" s="19"/>
    </row>
    <row r="54" spans="1:15" ht="12.75" customHeight="1" x14ac:dyDescent="0.2">
      <c r="A54" s="392" t="s">
        <v>220</v>
      </c>
    </row>
    <row r="55" spans="1:15" ht="12.75" customHeight="1" x14ac:dyDescent="0.2"/>
  </sheetData>
  <sheetProtection sheet="1" formatCells="0" formatColumns="0" formatRows="0"/>
  <mergeCells count="9">
    <mergeCell ref="E48:F48"/>
    <mergeCell ref="F8:F9"/>
    <mergeCell ref="G8:G9"/>
    <mergeCell ref="C7:D7"/>
    <mergeCell ref="J7:L7"/>
    <mergeCell ref="E36:F36"/>
    <mergeCell ref="H7:I7"/>
    <mergeCell ref="H9:I9"/>
    <mergeCell ref="E7:G7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/>
  </sheetViews>
  <sheetFormatPr defaultRowHeight="12.75" x14ac:dyDescent="0.2"/>
  <cols>
    <col min="1" max="1" width="10.85546875" customWidth="1"/>
    <col min="2" max="2" width="21.7109375" customWidth="1"/>
    <col min="3" max="8" width="9.28515625" customWidth="1"/>
    <col min="10" max="11" width="0" hidden="1" customWidth="1"/>
  </cols>
  <sheetData>
    <row r="1" spans="1:10" ht="12.75" customHeight="1" x14ac:dyDescent="0.2">
      <c r="A1" s="7" t="s">
        <v>253</v>
      </c>
      <c r="C1" s="524"/>
      <c r="D1" s="524"/>
      <c r="E1" s="645"/>
      <c r="F1" s="326"/>
      <c r="G1" s="7"/>
      <c r="H1" s="7"/>
    </row>
    <row r="2" spans="1:10" ht="12.75" customHeight="1" x14ac:dyDescent="0.2">
      <c r="A2" s="480" t="s">
        <v>254</v>
      </c>
      <c r="B2" s="524"/>
      <c r="C2" s="524"/>
      <c r="D2" s="524"/>
      <c r="E2" s="645"/>
      <c r="F2" s="326"/>
      <c r="G2" s="7"/>
      <c r="H2" s="7"/>
    </row>
    <row r="3" spans="1:10" ht="12.75" customHeight="1" x14ac:dyDescent="0.2">
      <c r="A3" s="19"/>
      <c r="B3" s="19"/>
      <c r="C3" s="20"/>
      <c r="D3" s="20"/>
      <c r="E3" s="20"/>
      <c r="F3" s="20"/>
      <c r="G3" s="20"/>
      <c r="H3" s="20"/>
    </row>
    <row r="4" spans="1:10" ht="12.75" customHeight="1" x14ac:dyDescent="0.2">
      <c r="A4" s="448"/>
      <c r="B4" s="449"/>
      <c r="C4" s="449"/>
      <c r="D4" s="449"/>
      <c r="E4" s="449"/>
      <c r="F4" s="450"/>
      <c r="G4" s="20"/>
      <c r="H4" s="20"/>
    </row>
    <row r="5" spans="1:10" ht="12.75" customHeight="1" x14ac:dyDescent="0.2">
      <c r="A5" s="451" t="s">
        <v>153</v>
      </c>
      <c r="B5" s="452"/>
      <c r="C5" s="452"/>
      <c r="D5" s="452"/>
      <c r="E5" s="452"/>
      <c r="F5" s="453"/>
      <c r="G5" s="19"/>
      <c r="H5" s="19"/>
    </row>
    <row r="6" spans="1:10" ht="12.75" customHeight="1" x14ac:dyDescent="0.2">
      <c r="A6" s="19"/>
      <c r="B6" s="19"/>
      <c r="C6" s="19"/>
      <c r="D6" s="19"/>
      <c r="E6" s="19"/>
      <c r="F6" s="691" t="s">
        <v>93</v>
      </c>
      <c r="G6" s="691" t="s">
        <v>95</v>
      </c>
      <c r="H6" s="19"/>
    </row>
    <row r="7" spans="1:10" ht="12.75" customHeight="1" x14ac:dyDescent="0.2">
      <c r="A7" s="442" t="s">
        <v>92</v>
      </c>
      <c r="B7" s="442" t="s">
        <v>158</v>
      </c>
      <c r="C7" s="442" t="s">
        <v>74</v>
      </c>
      <c r="D7" s="442" t="s">
        <v>2</v>
      </c>
      <c r="E7" s="471" t="s">
        <v>88</v>
      </c>
      <c r="F7" s="692"/>
      <c r="G7" s="692"/>
      <c r="H7" s="573" t="s">
        <v>224</v>
      </c>
      <c r="J7" s="529" t="s">
        <v>175</v>
      </c>
    </row>
    <row r="8" spans="1:10" ht="12.75" customHeight="1" x14ac:dyDescent="0.2">
      <c r="A8" s="29">
        <v>1</v>
      </c>
      <c r="B8" s="525" t="s">
        <v>117</v>
      </c>
      <c r="C8" s="574">
        <v>25.720099999999999</v>
      </c>
      <c r="D8" s="575">
        <v>0.11277090995037511</v>
      </c>
      <c r="E8" s="526">
        <v>36530</v>
      </c>
      <c r="F8" s="527">
        <f>IF(E8&gt;0,C8*E8,"")</f>
        <v>939555.25299999991</v>
      </c>
      <c r="G8" s="528">
        <f t="shared" ref="G8:G33" si="0">IF(D8&gt;0,E8/E$34,"")</f>
        <v>3.5573915448408572E-2</v>
      </c>
      <c r="H8" s="527">
        <f>IF(E8&gt;0,D8^2*E8^2,"")</f>
        <v>16970456.07472948</v>
      </c>
      <c r="I8" s="19"/>
      <c r="J8" t="b">
        <f>AND(NOT(ISBLANK(C8)),D8&gt;0,E8&gt;0)</f>
        <v>1</v>
      </c>
    </row>
    <row r="9" spans="1:10" ht="12.75" customHeight="1" x14ac:dyDescent="0.2">
      <c r="A9" s="442">
        <v>2</v>
      </c>
      <c r="B9" s="210" t="s">
        <v>118</v>
      </c>
      <c r="C9" s="213">
        <v>25.978760000000001</v>
      </c>
      <c r="D9" s="576">
        <v>0.11352706580183446</v>
      </c>
      <c r="E9" s="269">
        <v>36500</v>
      </c>
      <c r="F9" s="270">
        <f>IF(E9&gt;0,C9*E9,"")</f>
        <v>948224.74</v>
      </c>
      <c r="G9" s="207">
        <f t="shared" si="0"/>
        <v>3.5544700625976262E-2</v>
      </c>
      <c r="H9" s="270">
        <f>IF(E9&gt;0,D9^2*E9^2,"")</f>
        <v>17170563.79854003</v>
      </c>
      <c r="I9" s="19"/>
      <c r="J9" s="429" t="b">
        <f t="shared" ref="J9:J33" si="1">AND(NOT(ISBLANK(C9)),D9&gt;0,E9&gt;0)</f>
        <v>1</v>
      </c>
    </row>
    <row r="10" spans="1:10" ht="12.75" customHeight="1" x14ac:dyDescent="0.2">
      <c r="A10" s="442">
        <v>3</v>
      </c>
      <c r="B10" s="210" t="s">
        <v>119</v>
      </c>
      <c r="C10" s="213">
        <v>25.590820000000001</v>
      </c>
      <c r="D10" s="576">
        <v>0.10743682925672164</v>
      </c>
      <c r="E10" s="269">
        <v>69341</v>
      </c>
      <c r="F10" s="270">
        <f t="shared" ref="F10:F28" si="2">IF(E10&gt;0,C10*E10,"")</f>
        <v>1774493.0496199999</v>
      </c>
      <c r="G10" s="207">
        <f t="shared" si="0"/>
        <v>6.752616674262521E-2</v>
      </c>
      <c r="H10" s="270">
        <f t="shared" ref="H10:H28" si="3">IF(E10&gt;0,D10^2*E10^2,"")</f>
        <v>55499179.994255871</v>
      </c>
      <c r="I10" s="19"/>
      <c r="J10" s="429" t="b">
        <f t="shared" si="1"/>
        <v>1</v>
      </c>
    </row>
    <row r="11" spans="1:10" ht="12.75" customHeight="1" x14ac:dyDescent="0.2">
      <c r="A11" s="442">
        <v>4</v>
      </c>
      <c r="B11" s="210" t="s">
        <v>120</v>
      </c>
      <c r="C11" s="213">
        <v>25.595030000000001</v>
      </c>
      <c r="D11" s="576">
        <v>0.11731462917932689</v>
      </c>
      <c r="E11" s="269">
        <v>46391</v>
      </c>
      <c r="F11" s="270">
        <f t="shared" si="2"/>
        <v>1187379.0367300001</v>
      </c>
      <c r="G11" s="207">
        <f t="shared" si="0"/>
        <v>4.5176827581908621E-2</v>
      </c>
      <c r="H11" s="270">
        <f t="shared" si="3"/>
        <v>29619096.918840855</v>
      </c>
      <c r="I11" s="19"/>
      <c r="J11" s="429" t="b">
        <f t="shared" si="1"/>
        <v>1</v>
      </c>
    </row>
    <row r="12" spans="1:10" ht="12.75" customHeight="1" x14ac:dyDescent="0.2">
      <c r="A12" s="442">
        <v>5</v>
      </c>
      <c r="B12" s="210" t="s">
        <v>121</v>
      </c>
      <c r="C12" s="213">
        <v>25.772110000000001</v>
      </c>
      <c r="D12" s="576">
        <v>0.11951561600416924</v>
      </c>
      <c r="E12" s="269">
        <v>67297</v>
      </c>
      <c r="F12" s="270">
        <f t="shared" si="2"/>
        <v>1734385.6866700002</v>
      </c>
      <c r="G12" s="207">
        <f t="shared" si="0"/>
        <v>6.5535663507570535E-2</v>
      </c>
      <c r="H12" s="270">
        <f t="shared" si="3"/>
        <v>64690531.212799869</v>
      </c>
      <c r="I12" s="19"/>
      <c r="J12" s="429" t="b">
        <f t="shared" si="1"/>
        <v>1</v>
      </c>
    </row>
    <row r="13" spans="1:10" ht="12.75" customHeight="1" x14ac:dyDescent="0.2">
      <c r="A13" s="442">
        <v>6</v>
      </c>
      <c r="B13" s="210" t="s">
        <v>122</v>
      </c>
      <c r="C13" s="213">
        <v>25.749289999999998</v>
      </c>
      <c r="D13" s="576">
        <v>0.11482246750416832</v>
      </c>
      <c r="E13" s="269">
        <v>32619</v>
      </c>
      <c r="F13" s="270">
        <f t="shared" si="2"/>
        <v>839916.09050999989</v>
      </c>
      <c r="G13" s="207">
        <f t="shared" si="0"/>
        <v>3.1765276430649851E-2</v>
      </c>
      <c r="H13" s="270">
        <f t="shared" si="3"/>
        <v>14027976.721002521</v>
      </c>
      <c r="I13" s="19"/>
      <c r="J13" s="429" t="b">
        <f t="shared" si="1"/>
        <v>1</v>
      </c>
    </row>
    <row r="14" spans="1:10" ht="12.75" customHeight="1" x14ac:dyDescent="0.2">
      <c r="A14" s="442">
        <v>7</v>
      </c>
      <c r="B14" s="210" t="s">
        <v>123</v>
      </c>
      <c r="C14" s="213">
        <v>26.011340000000001</v>
      </c>
      <c r="D14" s="576">
        <v>0.11867156976124944</v>
      </c>
      <c r="E14" s="269">
        <v>17737</v>
      </c>
      <c r="F14" s="270">
        <f t="shared" si="2"/>
        <v>461363.13758000004</v>
      </c>
      <c r="G14" s="207">
        <f t="shared" si="0"/>
        <v>1.7272776849395644E-2</v>
      </c>
      <c r="H14" s="270">
        <f t="shared" si="3"/>
        <v>4430509.8492944529</v>
      </c>
      <c r="I14" s="19"/>
      <c r="J14" s="429" t="b">
        <f t="shared" si="1"/>
        <v>1</v>
      </c>
    </row>
    <row r="15" spans="1:10" ht="12.75" customHeight="1" x14ac:dyDescent="0.2">
      <c r="A15" s="442">
        <v>8</v>
      </c>
      <c r="B15" s="210" t="s">
        <v>124</v>
      </c>
      <c r="C15" s="213">
        <v>26.037040000000001</v>
      </c>
      <c r="D15" s="576">
        <v>0.11995514236689254</v>
      </c>
      <c r="E15" s="269">
        <v>31826</v>
      </c>
      <c r="F15" s="270">
        <f t="shared" si="2"/>
        <v>828654.83504000003</v>
      </c>
      <c r="G15" s="207">
        <f t="shared" si="0"/>
        <v>3.0993031291022481E-2</v>
      </c>
      <c r="H15" s="270">
        <f t="shared" si="3"/>
        <v>14574774.962998936</v>
      </c>
      <c r="I15" s="19"/>
      <c r="J15" s="429" t="b">
        <f t="shared" si="1"/>
        <v>1</v>
      </c>
    </row>
    <row r="16" spans="1:10" ht="12.75" customHeight="1" x14ac:dyDescent="0.2">
      <c r="A16" s="442">
        <v>9</v>
      </c>
      <c r="B16" s="210" t="s">
        <v>125</v>
      </c>
      <c r="C16" s="213">
        <v>25.402439999999999</v>
      </c>
      <c r="D16" s="576">
        <v>0.11358864001495109</v>
      </c>
      <c r="E16" s="269">
        <v>17653</v>
      </c>
      <c r="F16" s="270">
        <f t="shared" si="2"/>
        <v>448429.27331999998</v>
      </c>
      <c r="G16" s="207">
        <f t="shared" si="0"/>
        <v>1.7190975346585178E-2</v>
      </c>
      <c r="H16" s="270">
        <f t="shared" si="3"/>
        <v>4020747.8838520208</v>
      </c>
      <c r="I16" s="19"/>
      <c r="J16" s="429" t="b">
        <f t="shared" si="1"/>
        <v>1</v>
      </c>
    </row>
    <row r="17" spans="1:10" ht="12.75" customHeight="1" x14ac:dyDescent="0.2">
      <c r="A17" s="442">
        <v>10</v>
      </c>
      <c r="B17" s="210" t="s">
        <v>126</v>
      </c>
      <c r="C17" s="213">
        <v>25.599039999999999</v>
      </c>
      <c r="D17" s="576">
        <v>0.11182076633968763</v>
      </c>
      <c r="E17" s="269">
        <v>78099</v>
      </c>
      <c r="F17" s="270">
        <f t="shared" si="2"/>
        <v>1999259.42496</v>
      </c>
      <c r="G17" s="207">
        <f t="shared" si="0"/>
        <v>7.605494723803069E-2</v>
      </c>
      <c r="H17" s="270">
        <f t="shared" si="3"/>
        <v>76266861.478430241</v>
      </c>
      <c r="I17" s="19"/>
      <c r="J17" s="429" t="b">
        <f t="shared" si="1"/>
        <v>1</v>
      </c>
    </row>
    <row r="18" spans="1:10" ht="12.75" customHeight="1" x14ac:dyDescent="0.2">
      <c r="A18" s="442">
        <v>11</v>
      </c>
      <c r="B18" s="210" t="s">
        <v>127</v>
      </c>
      <c r="C18" s="213">
        <v>25.814139999999998</v>
      </c>
      <c r="D18" s="576">
        <v>0.11919367495445574</v>
      </c>
      <c r="E18" s="269">
        <v>46838</v>
      </c>
      <c r="F18" s="270">
        <f t="shared" si="2"/>
        <v>1209082.6893199999</v>
      </c>
      <c r="G18" s="207">
        <f t="shared" si="0"/>
        <v>4.5612128436150035E-2</v>
      </c>
      <c r="H18" s="270">
        <f t="shared" si="3"/>
        <v>31167581.561077811</v>
      </c>
      <c r="I18" s="19"/>
      <c r="J18" s="429" t="b">
        <f t="shared" si="1"/>
        <v>1</v>
      </c>
    </row>
    <row r="19" spans="1:10" ht="12.75" customHeight="1" x14ac:dyDescent="0.2">
      <c r="A19" s="442">
        <v>12</v>
      </c>
      <c r="B19" s="210" t="s">
        <v>128</v>
      </c>
      <c r="C19" s="213">
        <v>26.15681</v>
      </c>
      <c r="D19" s="576">
        <v>0.15432044860120858</v>
      </c>
      <c r="E19" s="269">
        <v>3338</v>
      </c>
      <c r="F19" s="270">
        <f t="shared" si="2"/>
        <v>87311.431779999999</v>
      </c>
      <c r="G19" s="207">
        <f t="shared" si="0"/>
        <v>3.2506359093016101E-3</v>
      </c>
      <c r="H19" s="270">
        <f t="shared" si="3"/>
        <v>265350.32195428974</v>
      </c>
      <c r="I19" s="19"/>
      <c r="J19" s="429" t="b">
        <f t="shared" si="1"/>
        <v>1</v>
      </c>
    </row>
    <row r="20" spans="1:10" ht="12.75" customHeight="1" x14ac:dyDescent="0.2">
      <c r="A20" s="442">
        <v>13</v>
      </c>
      <c r="B20" s="210" t="s">
        <v>129</v>
      </c>
      <c r="C20" s="213">
        <v>25.295120000000001</v>
      </c>
      <c r="D20" s="576">
        <v>0.11517616466253096</v>
      </c>
      <c r="E20" s="269">
        <v>71162</v>
      </c>
      <c r="F20" s="270">
        <f t="shared" si="2"/>
        <v>1800051.32944</v>
      </c>
      <c r="G20" s="207">
        <f t="shared" si="0"/>
        <v>6.9299506464266372E-2</v>
      </c>
      <c r="H20" s="270">
        <f t="shared" si="3"/>
        <v>67177140.865121052</v>
      </c>
      <c r="I20" s="19"/>
      <c r="J20" s="429" t="b">
        <f t="shared" si="1"/>
        <v>1</v>
      </c>
    </row>
    <row r="21" spans="1:10" ht="12.75" customHeight="1" x14ac:dyDescent="0.2">
      <c r="A21" s="442">
        <v>14</v>
      </c>
      <c r="B21" s="210" t="s">
        <v>130</v>
      </c>
      <c r="C21" s="213">
        <v>25.379840000000002</v>
      </c>
      <c r="D21" s="576">
        <v>0.10369325423722824</v>
      </c>
      <c r="E21" s="269">
        <v>44825</v>
      </c>
      <c r="F21" s="270">
        <f t="shared" si="2"/>
        <v>1137651.328</v>
      </c>
      <c r="G21" s="207">
        <f t="shared" si="0"/>
        <v>4.3651813850942078E-2</v>
      </c>
      <c r="H21" s="270">
        <f t="shared" si="3"/>
        <v>21604369.929036323</v>
      </c>
      <c r="I21" s="19"/>
      <c r="J21" s="429" t="b">
        <f t="shared" si="1"/>
        <v>1</v>
      </c>
    </row>
    <row r="22" spans="1:10" ht="12.75" customHeight="1" x14ac:dyDescent="0.2">
      <c r="A22" s="442">
        <v>15</v>
      </c>
      <c r="B22" s="210" t="s">
        <v>131</v>
      </c>
      <c r="C22" s="213">
        <v>25.828469999999999</v>
      </c>
      <c r="D22" s="576">
        <v>0.11632832131024187</v>
      </c>
      <c r="E22" s="269">
        <v>39366</v>
      </c>
      <c r="F22" s="270">
        <f t="shared" si="2"/>
        <v>1016763.55002</v>
      </c>
      <c r="G22" s="207">
        <f t="shared" si="0"/>
        <v>3.8335689995676207E-2</v>
      </c>
      <c r="H22" s="270">
        <f t="shared" si="3"/>
        <v>20970727.56529925</v>
      </c>
      <c r="I22" s="19"/>
      <c r="J22" s="429" t="b">
        <f t="shared" si="1"/>
        <v>1</v>
      </c>
    </row>
    <row r="23" spans="1:10" ht="12.75" customHeight="1" x14ac:dyDescent="0.2">
      <c r="A23" s="442">
        <v>16</v>
      </c>
      <c r="B23" s="210" t="s">
        <v>132</v>
      </c>
      <c r="C23" s="213">
        <v>25.67821</v>
      </c>
      <c r="D23" s="576">
        <v>0.11339777812517327</v>
      </c>
      <c r="E23" s="269">
        <v>18134</v>
      </c>
      <c r="F23" s="270">
        <f t="shared" si="2"/>
        <v>465648.66013999999</v>
      </c>
      <c r="G23" s="207">
        <f t="shared" si="0"/>
        <v>1.7659386332916534E-2</v>
      </c>
      <c r="H23" s="270">
        <f t="shared" si="3"/>
        <v>4228597.1548861656</v>
      </c>
      <c r="I23" s="19"/>
      <c r="J23" s="429" t="b">
        <f t="shared" si="1"/>
        <v>1</v>
      </c>
    </row>
    <row r="24" spans="1:10" ht="12.75" customHeight="1" x14ac:dyDescent="0.2">
      <c r="A24" s="442">
        <v>17</v>
      </c>
      <c r="B24" s="210" t="s">
        <v>133</v>
      </c>
      <c r="C24" s="213">
        <v>25.694120000000002</v>
      </c>
      <c r="D24" s="576">
        <v>0.11426013864839625</v>
      </c>
      <c r="E24" s="269">
        <v>34058</v>
      </c>
      <c r="F24" s="270">
        <f t="shared" si="2"/>
        <v>875090.33896000008</v>
      </c>
      <c r="G24" s="207">
        <f t="shared" si="0"/>
        <v>3.3166614079986285E-2</v>
      </c>
      <c r="H24" s="270">
        <f t="shared" si="3"/>
        <v>15143552.786438862</v>
      </c>
      <c r="I24" s="19"/>
      <c r="J24" s="429" t="b">
        <f t="shared" si="1"/>
        <v>1</v>
      </c>
    </row>
    <row r="25" spans="1:10" ht="12.75" customHeight="1" x14ac:dyDescent="0.2">
      <c r="A25" s="442">
        <v>18</v>
      </c>
      <c r="B25" s="210" t="s">
        <v>134</v>
      </c>
      <c r="C25" s="213">
        <v>25.783639999999998</v>
      </c>
      <c r="D25" s="576">
        <v>0.11687114655054837</v>
      </c>
      <c r="E25" s="269">
        <v>75423</v>
      </c>
      <c r="F25" s="270">
        <f t="shared" si="2"/>
        <v>1944679.4797199999</v>
      </c>
      <c r="G25" s="207">
        <f t="shared" si="0"/>
        <v>7.3448985077068707E-2</v>
      </c>
      <c r="H25" s="270">
        <f t="shared" si="3"/>
        <v>77700213.984914318</v>
      </c>
      <c r="I25" s="19"/>
      <c r="J25" s="429" t="b">
        <f t="shared" si="1"/>
        <v>1</v>
      </c>
    </row>
    <row r="26" spans="1:10" ht="12.75" customHeight="1" x14ac:dyDescent="0.2">
      <c r="A26" s="442">
        <v>19</v>
      </c>
      <c r="B26" s="210" t="s">
        <v>135</v>
      </c>
      <c r="C26" s="213">
        <v>24.627829999999999</v>
      </c>
      <c r="D26" s="576">
        <v>6.1772443313619675E-2</v>
      </c>
      <c r="E26" s="269">
        <v>259739</v>
      </c>
      <c r="F26" s="270">
        <f t="shared" si="2"/>
        <v>6396807.9363700002</v>
      </c>
      <c r="G26" s="207">
        <f t="shared" si="0"/>
        <v>0.25294095879151912</v>
      </c>
      <c r="H26" s="270">
        <f t="shared" si="3"/>
        <v>257432804.14417341</v>
      </c>
      <c r="I26" s="19"/>
      <c r="J26" s="429" t="b">
        <f t="shared" si="1"/>
        <v>1</v>
      </c>
    </row>
    <row r="27" spans="1:10" ht="12.75" customHeight="1" x14ac:dyDescent="0.2">
      <c r="A27" s="442">
        <v>20</v>
      </c>
      <c r="B27" s="210"/>
      <c r="C27" s="213"/>
      <c r="D27" s="576"/>
      <c r="E27" s="269"/>
      <c r="F27" s="271" t="str">
        <f t="shared" si="2"/>
        <v/>
      </c>
      <c r="G27" s="207" t="str">
        <f t="shared" si="0"/>
        <v/>
      </c>
      <c r="H27" s="271" t="str">
        <f t="shared" si="3"/>
        <v/>
      </c>
      <c r="I27" s="19"/>
      <c r="J27" s="429" t="b">
        <f t="shared" si="1"/>
        <v>0</v>
      </c>
    </row>
    <row r="28" spans="1:10" ht="12.75" customHeight="1" x14ac:dyDescent="0.2">
      <c r="A28" s="442">
        <v>21</v>
      </c>
      <c r="B28" s="210"/>
      <c r="C28" s="213"/>
      <c r="D28" s="576"/>
      <c r="E28" s="269"/>
      <c r="F28" s="271" t="str">
        <f t="shared" si="2"/>
        <v/>
      </c>
      <c r="G28" s="207" t="str">
        <f t="shared" si="0"/>
        <v/>
      </c>
      <c r="H28" s="271" t="str">
        <f t="shared" si="3"/>
        <v/>
      </c>
      <c r="I28" s="19"/>
      <c r="J28" s="429" t="b">
        <f t="shared" si="1"/>
        <v>0</v>
      </c>
    </row>
    <row r="29" spans="1:10" ht="12.75" customHeight="1" x14ac:dyDescent="0.2">
      <c r="A29" s="442">
        <v>22</v>
      </c>
      <c r="B29" s="210"/>
      <c r="C29" s="213"/>
      <c r="D29" s="576"/>
      <c r="E29" s="269"/>
      <c r="F29" s="271" t="str">
        <f>IF(D29&gt;0,C29*E29,"")</f>
        <v/>
      </c>
      <c r="G29" s="207" t="str">
        <f t="shared" si="0"/>
        <v/>
      </c>
      <c r="H29" s="271" t="str">
        <f>IF(E29&gt;0,D29^2*E29^2,"")</f>
        <v/>
      </c>
      <c r="I29" s="19"/>
      <c r="J29" s="429" t="b">
        <f t="shared" si="1"/>
        <v>0</v>
      </c>
    </row>
    <row r="30" spans="1:10" ht="12.75" customHeight="1" x14ac:dyDescent="0.2">
      <c r="A30" s="442">
        <v>23</v>
      </c>
      <c r="B30" s="210"/>
      <c r="C30" s="213"/>
      <c r="D30" s="576"/>
      <c r="E30" s="269"/>
      <c r="F30" s="271" t="str">
        <f>IF(D30&gt;0,C30*E30,"")</f>
        <v/>
      </c>
      <c r="G30" s="207" t="str">
        <f t="shared" si="0"/>
        <v/>
      </c>
      <c r="H30" s="271" t="str">
        <f>IF(E30&gt;0,D30^2*E30^2,"")</f>
        <v/>
      </c>
      <c r="I30" s="19"/>
      <c r="J30" s="429" t="b">
        <f t="shared" si="1"/>
        <v>0</v>
      </c>
    </row>
    <row r="31" spans="1:10" ht="12.75" customHeight="1" x14ac:dyDescent="0.2">
      <c r="A31" s="442">
        <v>24</v>
      </c>
      <c r="B31" s="210"/>
      <c r="C31" s="213"/>
      <c r="D31" s="576"/>
      <c r="E31" s="269"/>
      <c r="F31" s="271" t="str">
        <f>IF(D31&gt;0,C31*E31,"")</f>
        <v/>
      </c>
      <c r="G31" s="207" t="str">
        <f t="shared" si="0"/>
        <v/>
      </c>
      <c r="H31" s="271" t="str">
        <f>IF(E31&gt;0,D31^2*E31^2,"")</f>
        <v/>
      </c>
      <c r="I31" s="19"/>
      <c r="J31" s="429" t="b">
        <f t="shared" si="1"/>
        <v>0</v>
      </c>
    </row>
    <row r="32" spans="1:10" ht="12.75" customHeight="1" x14ac:dyDescent="0.2">
      <c r="A32" s="442">
        <v>25</v>
      </c>
      <c r="B32" s="210"/>
      <c r="C32" s="213"/>
      <c r="D32" s="576"/>
      <c r="E32" s="269"/>
      <c r="F32" s="271" t="str">
        <f>IF(D32&gt;0,C32*E32,"")</f>
        <v/>
      </c>
      <c r="G32" s="207" t="str">
        <f t="shared" si="0"/>
        <v/>
      </c>
      <c r="H32" s="271" t="str">
        <f>IF(E32&gt;0,D32^2*E32^2,"")</f>
        <v/>
      </c>
      <c r="I32" s="19"/>
      <c r="J32" s="429" t="b">
        <f t="shared" si="1"/>
        <v>0</v>
      </c>
    </row>
    <row r="33" spans="1:10" ht="12.75" customHeight="1" x14ac:dyDescent="0.2">
      <c r="A33" s="256">
        <v>26</v>
      </c>
      <c r="B33" s="211"/>
      <c r="C33" s="214"/>
      <c r="D33" s="577"/>
      <c r="E33" s="272"/>
      <c r="F33" s="273" t="str">
        <f>IF(D33&gt;0,C33*E33,"")</f>
        <v/>
      </c>
      <c r="G33" s="208" t="str">
        <f t="shared" si="0"/>
        <v/>
      </c>
      <c r="H33" s="273" t="str">
        <f>IF(E33&gt;0,D33^2*E33^2,"")</f>
        <v/>
      </c>
      <c r="I33" s="19"/>
      <c r="J33" s="429" t="b">
        <f t="shared" si="1"/>
        <v>0</v>
      </c>
    </row>
    <row r="34" spans="1:10" ht="12.75" customHeight="1" x14ac:dyDescent="0.2">
      <c r="A34" s="19"/>
      <c r="B34" s="212" t="s">
        <v>94</v>
      </c>
      <c r="C34" s="274"/>
      <c r="D34" s="275"/>
      <c r="E34" s="267">
        <f>SUM(E8:E33)</f>
        <v>1026876</v>
      </c>
      <c r="F34" s="268">
        <f>SUM(F8:F33)</f>
        <v>26094747.271179996</v>
      </c>
      <c r="G34" s="203">
        <f>IF(E34&gt;0,E34/E$34,"")</f>
        <v>1</v>
      </c>
      <c r="H34" s="268">
        <f>SUM(H8:H33)</f>
        <v>792961037.20764589</v>
      </c>
      <c r="I34" s="19"/>
    </row>
    <row r="35" spans="1:10" ht="12.75" customHeight="1" x14ac:dyDescent="0.2">
      <c r="I35" s="19"/>
    </row>
    <row r="36" spans="1:10" ht="12.75" customHeight="1" x14ac:dyDescent="0.2">
      <c r="I36" s="19"/>
    </row>
    <row r="37" spans="1:10" ht="12.75" customHeight="1" x14ac:dyDescent="0.2">
      <c r="B37" s="135" t="s">
        <v>16</v>
      </c>
      <c r="C37" s="19"/>
      <c r="D37" s="19"/>
      <c r="E37" s="19"/>
      <c r="F37" s="19"/>
      <c r="G37" s="19"/>
      <c r="H37" s="19"/>
      <c r="I37" s="19"/>
    </row>
    <row r="38" spans="1:10" s="202" customFormat="1" ht="12.75" customHeight="1" x14ac:dyDescent="0.2">
      <c r="A38" s="205"/>
      <c r="B38" s="375"/>
      <c r="C38" s="431" t="s">
        <v>74</v>
      </c>
      <c r="D38" s="442" t="s">
        <v>2</v>
      </c>
      <c r="E38" s="675" t="s">
        <v>12</v>
      </c>
      <c r="F38" s="677"/>
      <c r="G38" s="19"/>
      <c r="H38" s="19"/>
      <c r="I38" s="205"/>
    </row>
    <row r="39" spans="1:10" ht="12.75" customHeight="1" x14ac:dyDescent="0.2">
      <c r="A39" s="19"/>
      <c r="B39" s="263" t="s">
        <v>106</v>
      </c>
      <c r="C39" s="261">
        <f>IF(J39,F34/E34,"")</f>
        <v>25.411780264783669</v>
      </c>
      <c r="D39" s="204">
        <f>IF(J39,SQRT(H34)/E34,"")</f>
        <v>2.7422555272006609E-2</v>
      </c>
      <c r="E39" s="436">
        <f>IF(J39,C39-1.96*D39,"")</f>
        <v>25.358032056450536</v>
      </c>
      <c r="F39" s="206">
        <f>IF(J39,C39+1.96*D39,"")</f>
        <v>25.465528473116802</v>
      </c>
      <c r="G39" s="19"/>
      <c r="H39" s="19"/>
      <c r="I39" s="19"/>
      <c r="J39" t="b">
        <f>OR(J8:J33)</f>
        <v>1</v>
      </c>
    </row>
    <row r="40" spans="1:10" ht="12.75" customHeight="1" x14ac:dyDescent="0.2">
      <c r="A40" s="19"/>
      <c r="B40" s="262" t="s">
        <v>221</v>
      </c>
      <c r="C40" s="282">
        <f>IF(J39,EXP(C39),"")</f>
        <v>108691590609.59309</v>
      </c>
      <c r="D40" s="276"/>
      <c r="E40" s="274">
        <f>IF(J39,EXP(E39),"")</f>
        <v>103003834892.66093</v>
      </c>
      <c r="F40" s="274">
        <f>IF(J39,EXP(F39),"")</f>
        <v>114693417789.29366</v>
      </c>
      <c r="G40" s="19"/>
      <c r="H40" s="19"/>
      <c r="I40" s="19"/>
    </row>
    <row r="41" spans="1:10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</row>
    <row r="42" spans="1:10" ht="12.75" customHeight="1" x14ac:dyDescent="0.2">
      <c r="A42" s="19"/>
      <c r="B42" s="258" t="s">
        <v>111</v>
      </c>
      <c r="C42" s="370">
        <v>25</v>
      </c>
      <c r="D42" s="259" t="s">
        <v>14</v>
      </c>
      <c r="E42" s="404">
        <f>IF(J42,(C39-C42)/D39,"")</f>
        <v>15.016115774011075</v>
      </c>
      <c r="F42" s="259" t="s">
        <v>203</v>
      </c>
      <c r="G42" s="404" t="str">
        <f>IF(J42,IF(2*(1-NORMSDIST(ABS(E42)))&gt;=0.001,2*(1-NORMSDIST(ABS(E42))),"&lt;0.001"),"")</f>
        <v>&lt;0.001</v>
      </c>
      <c r="H42" s="19"/>
      <c r="I42" s="19"/>
      <c r="J42" t="b">
        <f>AND(J39,NOT(ISBLANK(C42)))</f>
        <v>1</v>
      </c>
    </row>
    <row r="43" spans="1:10" ht="12.75" customHeight="1" x14ac:dyDescent="0.2">
      <c r="A43" s="19"/>
      <c r="B43" s="427" t="s">
        <v>221</v>
      </c>
      <c r="C43" s="19">
        <f>IF(J42,EXP(C42),"")</f>
        <v>72004899337.38588</v>
      </c>
      <c r="D43" s="19"/>
      <c r="E43" s="19"/>
      <c r="F43" s="19"/>
      <c r="G43" s="19"/>
      <c r="H43" s="19"/>
      <c r="I43" s="19"/>
    </row>
    <row r="44" spans="1:10" ht="12.75" customHeight="1" x14ac:dyDescent="0.2">
      <c r="A44" s="19"/>
      <c r="I44" s="19"/>
    </row>
    <row r="45" spans="1:10" ht="12.75" customHeight="1" x14ac:dyDescent="0.2">
      <c r="A45" s="392" t="s">
        <v>220</v>
      </c>
      <c r="I45" s="19"/>
    </row>
    <row r="46" spans="1:10" ht="12.75" customHeight="1" x14ac:dyDescent="0.2">
      <c r="A46" s="19"/>
      <c r="I46" s="19"/>
    </row>
    <row r="47" spans="1:10" ht="12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</row>
    <row r="48" spans="1:10" ht="12.75" customHeight="1" x14ac:dyDescent="0.2">
      <c r="A48" s="135" t="s">
        <v>223</v>
      </c>
      <c r="B48" s="20"/>
      <c r="C48" s="19"/>
      <c r="D48" s="19"/>
      <c r="E48" s="19"/>
      <c r="F48" s="19"/>
      <c r="G48" s="19"/>
      <c r="H48" s="19"/>
      <c r="I48" s="19"/>
    </row>
    <row r="49" spans="1:11" ht="12.75" customHeight="1" x14ac:dyDescent="0.2">
      <c r="A49" s="256" t="s">
        <v>92</v>
      </c>
      <c r="B49" s="256" t="s">
        <v>158</v>
      </c>
      <c r="C49" s="37" t="s">
        <v>74</v>
      </c>
      <c r="D49" s="257" t="s">
        <v>2</v>
      </c>
      <c r="E49" s="32"/>
      <c r="F49" s="32"/>
      <c r="G49" s="19"/>
      <c r="H49" s="19"/>
      <c r="I49" s="19"/>
    </row>
    <row r="50" spans="1:11" ht="12.75" customHeight="1" x14ac:dyDescent="0.2">
      <c r="A50" s="254">
        <v>14</v>
      </c>
      <c r="B50" s="294" t="str">
        <f>IF(J50,K50,"")</f>
        <v>Skanderborg</v>
      </c>
      <c r="C50" s="216">
        <f>IF(J50,CHOOSE(A50,C8,C9,C10,C11,C12,C13,C14,C15,C16,C17,C18,C19,C20,C21,C22,C23,C24,C25,C26,C27,C28,C29,C30,C31,C32,C33),"")</f>
        <v>25.379840000000002</v>
      </c>
      <c r="D50" s="216">
        <f>IF(J50,CHOOSE(A50,D8,D9,D10,D11,D12,D13,D14,D15,D16,D17,D18,D19,D20,D21,D22,D23,D24,D25,D26,D27,D28,D29,D30,D31,D32,D33),"")</f>
        <v>0.10369325423722824</v>
      </c>
      <c r="E50" s="32"/>
      <c r="F50" s="32"/>
      <c r="G50" s="19"/>
      <c r="H50" s="19"/>
      <c r="I50" s="19"/>
      <c r="J50" t="b">
        <f>IF(NOT(ISBLANK(A50)),CHOOSE(A50,J8,J9,J10,J11,J12,J13,J14,J15,J16,J17,J18,J19,J20,J21,J22,J23,J24,J25,J26,J27,J28,J29,J30,J31,J32,J33),FALSE)</f>
        <v>1</v>
      </c>
      <c r="K50" t="str">
        <f>IF(ISBLANK(CHOOSE(A50,B8,B9,B10,B11,B12,B13,B14,B15,B16,B17,B18,B19,B20,B21,B22,B23,B24,B25,B26,B27,B28,B29,B30,B31,B32,B33)),"",CHOOSE(A50,B8,B9,B10,B11,B12,B13,B14,B15,B16,B17,B18,B19,B20,B21,B22,B23,B24,B25,B26,B27,B28,B29,B30,B31,B32,B33))</f>
        <v>Skanderborg</v>
      </c>
    </row>
    <row r="51" spans="1:11" ht="12.75" customHeight="1" x14ac:dyDescent="0.2">
      <c r="A51" s="254">
        <v>19</v>
      </c>
      <c r="B51" s="444" t="str">
        <f>IF(J51,K51,"")</f>
        <v>Aarhus</v>
      </c>
      <c r="C51" s="197">
        <f>IF(J51,CHOOSE(A51,C8,C9,C10,C11,C12,C13,C14,C15,C16,C17,C18,C19,C20,C21,C22,C23,C24,C25,C26,C27,C28,C29,C30,C31,C32,C33),"")</f>
        <v>24.627829999999999</v>
      </c>
      <c r="D51" s="197">
        <f>IF(J51,CHOOSE(A51,D8,D9,D10,D11,D12,D13,D14,D15,D16,D17,D18,D19,D20,D21,D22,D23,D24,D25,D26,D27,D28,D29,D30,D31,D32,D33),"")</f>
        <v>6.1772443313619675E-2</v>
      </c>
      <c r="E51" s="675" t="s">
        <v>12</v>
      </c>
      <c r="F51" s="677"/>
      <c r="G51" s="19"/>
      <c r="H51" s="19"/>
      <c r="I51" s="19"/>
      <c r="J51" s="429" t="b">
        <f>IF(NOT(ISBLANK(A51)),CHOOSE(A51,J8,J9,J10,J11,J12,J13,J14,J15,J16,J17,J18,J19,J20,J21,J22,J23,J24,J25,J26,J27,J28,J29,J30,J31,J32,J33),FALSE)</f>
        <v>1</v>
      </c>
      <c r="K51" s="429" t="str">
        <f>IF(ISBLANK(CHOOSE(A51,B8,B9,B10,B11,B12,B13,B14,B15,B16,B17,B18,B19,B20,B21,B22,B23,B24,B25,B26,B27,B28,B29,B30,B31,B32,B33)),"",CHOOSE(A51,B8,B9,B10,B11,B12,B13,B14,B15,B16,B17,B18,B19,B20,B21,B22,B23,B24,B25,B26,B27,B28,B29,B30,B31,B32,B33))</f>
        <v>Aarhus</v>
      </c>
    </row>
    <row r="52" spans="1:11" ht="12.75" customHeight="1" x14ac:dyDescent="0.2">
      <c r="A52" s="19"/>
      <c r="B52" s="215" t="s">
        <v>67</v>
      </c>
      <c r="C52" s="197">
        <f>IF(J52,C50-C51,"")</f>
        <v>0.75201000000000207</v>
      </c>
      <c r="D52" s="195">
        <f>IF(J52,SQRT(D50^2+D51^2),"")</f>
        <v>0.12069849098990761</v>
      </c>
      <c r="E52" s="218">
        <f>IF(J52,C52-1.96*D52,"")</f>
        <v>0.51544095765978315</v>
      </c>
      <c r="F52" s="195">
        <f>IF(J52,C52+1.96*D52,"")</f>
        <v>0.98857904234022098</v>
      </c>
      <c r="G52" s="19"/>
      <c r="H52" s="19"/>
      <c r="I52" s="19"/>
      <c r="J52" t="b">
        <f>AND(J50,J51)</f>
        <v>1</v>
      </c>
    </row>
    <row r="53" spans="1:11" ht="12.75" customHeight="1" x14ac:dyDescent="0.2">
      <c r="A53" s="19"/>
      <c r="B53" s="262" t="s">
        <v>221</v>
      </c>
      <c r="C53" s="282">
        <f>IF(J52,EXP(C52),"")</f>
        <v>2.1212594659586133</v>
      </c>
      <c r="D53" s="276"/>
      <c r="E53" s="282">
        <f>IF(J52,EXP(E52),"")</f>
        <v>1.6743766682527204</v>
      </c>
      <c r="F53" s="282">
        <f>IF(J52,EXP(F52),"")</f>
        <v>2.6874130577886532</v>
      </c>
      <c r="G53" s="19"/>
      <c r="H53" s="19"/>
      <c r="I53" s="19"/>
    </row>
    <row r="54" spans="1:11" ht="12.75" customHeight="1" x14ac:dyDescent="0.2">
      <c r="A54" s="19"/>
      <c r="B54" s="26"/>
      <c r="C54" s="115"/>
      <c r="D54" s="115"/>
      <c r="E54" s="115"/>
      <c r="F54" s="115"/>
      <c r="G54" s="19"/>
      <c r="H54" s="19"/>
      <c r="I54" s="19"/>
    </row>
    <row r="55" spans="1:11" ht="12.75" customHeight="1" x14ac:dyDescent="0.2">
      <c r="A55" s="19"/>
      <c r="B55" s="258" t="s">
        <v>152</v>
      </c>
      <c r="C55" s="370">
        <v>0</v>
      </c>
      <c r="D55" s="259" t="s">
        <v>14</v>
      </c>
      <c r="E55" s="404">
        <f>IF(J55,(C52-C55)/D52,"")</f>
        <v>6.2304838596771068</v>
      </c>
      <c r="F55" s="259" t="s">
        <v>75</v>
      </c>
      <c r="G55" s="404" t="str">
        <f>IF(J55,IF(2*(1-NORMSDIST(ABS(E55)))&gt;=0.001,2*(1-NORMSDIST(ABS(E55))),"&lt;0.001"),"")</f>
        <v>&lt;0.001</v>
      </c>
      <c r="H55" s="19"/>
      <c r="I55" s="19"/>
      <c r="J55" t="b">
        <f>AND(NOT(ISBLANK(C55)),J52)</f>
        <v>1</v>
      </c>
    </row>
    <row r="56" spans="1:11" ht="12.75" customHeight="1" x14ac:dyDescent="0.2"/>
    <row r="57" spans="1:11" ht="12.75" customHeight="1" x14ac:dyDescent="0.2">
      <c r="A57" s="392" t="s">
        <v>220</v>
      </c>
    </row>
    <row r="58" spans="1:11" ht="12.75" customHeight="1" x14ac:dyDescent="0.2"/>
  </sheetData>
  <sheetProtection sheet="1" formatCells="0" formatColumns="0" formatRows="0"/>
  <mergeCells count="4">
    <mergeCell ref="E38:F38"/>
    <mergeCell ref="E51:F51"/>
    <mergeCell ref="F6:F7"/>
    <mergeCell ref="G6:G7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H40" sqref="H40"/>
    </sheetView>
  </sheetViews>
  <sheetFormatPr defaultRowHeight="12.75" x14ac:dyDescent="0.2"/>
  <cols>
    <col min="1" max="1" width="12" customWidth="1"/>
    <col min="2" max="2" width="15.7109375" customWidth="1"/>
    <col min="3" max="3" width="14.140625" customWidth="1"/>
    <col min="4" max="4" width="12.42578125" customWidth="1"/>
    <col min="5" max="5" width="11.5703125" customWidth="1"/>
    <col min="8" max="8" width="22.5703125" customWidth="1"/>
    <col min="9" max="9" width="0" hidden="1" customWidth="1"/>
  </cols>
  <sheetData>
    <row r="1" spans="1:10" x14ac:dyDescent="0.2">
      <c r="A1" s="20" t="s">
        <v>331</v>
      </c>
      <c r="B1" s="19"/>
      <c r="C1" s="19"/>
      <c r="D1" s="19"/>
      <c r="E1" s="19"/>
      <c r="F1" s="19"/>
      <c r="G1" s="19"/>
    </row>
    <row r="2" spans="1:10" x14ac:dyDescent="0.2">
      <c r="A2" s="392" t="s">
        <v>333</v>
      </c>
      <c r="B2" s="19"/>
      <c r="C2" s="19"/>
      <c r="D2" s="19"/>
      <c r="E2" s="19"/>
      <c r="F2" s="19"/>
      <c r="G2" s="19"/>
    </row>
    <row r="3" spans="1:10" s="470" customFormat="1" x14ac:dyDescent="0.2">
      <c r="A3" s="392"/>
      <c r="B3" s="19"/>
      <c r="C3" s="19"/>
      <c r="D3" s="19"/>
      <c r="E3" s="19"/>
      <c r="F3" s="19"/>
      <c r="G3" s="19"/>
    </row>
    <row r="4" spans="1:10" x14ac:dyDescent="0.2">
      <c r="A4" s="19"/>
      <c r="B4" s="19"/>
      <c r="C4" s="19"/>
      <c r="D4" s="675" t="s">
        <v>173</v>
      </c>
      <c r="E4" s="677"/>
      <c r="F4" s="676" t="s">
        <v>334</v>
      </c>
      <c r="G4" s="677"/>
      <c r="H4" s="45" t="s">
        <v>335</v>
      </c>
    </row>
    <row r="5" spans="1:10" ht="13.5" x14ac:dyDescent="0.2">
      <c r="A5" s="659" t="s">
        <v>171</v>
      </c>
      <c r="B5" s="659" t="s">
        <v>332</v>
      </c>
      <c r="C5" s="659" t="s">
        <v>2</v>
      </c>
      <c r="D5" s="733" t="s">
        <v>54</v>
      </c>
      <c r="E5" s="686"/>
      <c r="F5" s="659" t="s">
        <v>32</v>
      </c>
      <c r="G5" s="659" t="s">
        <v>33</v>
      </c>
      <c r="H5" s="659" t="s">
        <v>336</v>
      </c>
      <c r="I5" s="657" t="s">
        <v>175</v>
      </c>
      <c r="J5" s="657"/>
    </row>
    <row r="6" spans="1:10" x14ac:dyDescent="0.2">
      <c r="A6" s="664">
        <v>22</v>
      </c>
      <c r="B6" s="664">
        <v>0.3</v>
      </c>
      <c r="C6" s="658"/>
      <c r="D6" s="660">
        <f>IF(I6,(EXP(2*D7)-1)/(EXP(2*D7)+1),"")</f>
        <v>-0.13922506322994022</v>
      </c>
      <c r="E6" s="661">
        <f>IF(I6,(EXP(2*E7)-1)/(EXP(2*E7)+1),"")</f>
        <v>0.64059043370494961</v>
      </c>
      <c r="F6" s="659"/>
      <c r="G6" s="129">
        <f>IF(I6,IF(2*_xlfn.NORM.DIST(-ABS(F7),0,1,TRUE)&gt;=0.001,2*_xlfn.NORM.DIST(-ABS(F7),0,1,TRUE),"&lt;0.001"),"")</f>
        <v>0.15959894244264866</v>
      </c>
      <c r="H6" s="659">
        <f>IF(I6,B6^2,"")</f>
        <v>0.09</v>
      </c>
      <c r="I6" t="b">
        <f>AND(A6&gt;3,B6&gt;-1,B6&lt;1,INT(A6)=A6,NOT(ISBLANK(B6)))</f>
        <v>1</v>
      </c>
    </row>
    <row r="7" spans="1:10" x14ac:dyDescent="0.2">
      <c r="A7" s="662"/>
      <c r="B7" s="106">
        <f>IF(I6,LN((1+B6)/(1-B6))/2,"")</f>
        <v>0.30951960420311181</v>
      </c>
      <c r="C7" s="106">
        <f>IF(I6,1/SQRT(A6-3),"")</f>
        <v>0.22941573387056174</v>
      </c>
      <c r="D7" s="106">
        <f>IF(I6,B7-1.96*C7,"")</f>
        <v>-0.14013523418318918</v>
      </c>
      <c r="E7" s="106">
        <f>IF(I6,B7+1.96*C7,"")</f>
        <v>0.7591744425894128</v>
      </c>
      <c r="F7" s="106">
        <f>IF(I6,SQRT(A6-2)*B6/SQRT(1-B6^2),"")</f>
        <v>1.4064216928154862</v>
      </c>
      <c r="G7" s="662"/>
      <c r="H7" s="19"/>
    </row>
    <row r="8" spans="1:10" x14ac:dyDescent="0.2">
      <c r="A8" s="19"/>
      <c r="B8" s="19"/>
      <c r="C8" s="19"/>
      <c r="D8" s="19"/>
      <c r="E8" s="19"/>
      <c r="F8" s="19"/>
      <c r="G8" s="19"/>
    </row>
    <row r="9" spans="1:10" x14ac:dyDescent="0.2">
      <c r="A9" s="19"/>
      <c r="B9" s="19"/>
      <c r="C9" s="19"/>
      <c r="D9" s="19"/>
      <c r="E9" s="19"/>
      <c r="F9" s="19"/>
      <c r="G9" s="19"/>
    </row>
    <row r="10" spans="1:10" x14ac:dyDescent="0.2">
      <c r="B10" s="19"/>
      <c r="D10" s="19"/>
      <c r="E10" s="19"/>
      <c r="F10" s="19"/>
      <c r="G10" s="19"/>
    </row>
    <row r="11" spans="1:10" x14ac:dyDescent="0.2">
      <c r="D11" s="19"/>
      <c r="E11" s="19"/>
      <c r="F11" s="19"/>
      <c r="G11" s="19"/>
    </row>
    <row r="12" spans="1:10" x14ac:dyDescent="0.2">
      <c r="A12" s="19"/>
      <c r="B12" s="19"/>
      <c r="C12" s="19"/>
      <c r="D12" s="19"/>
      <c r="E12" s="19"/>
      <c r="F12" s="19"/>
      <c r="G12" s="19"/>
    </row>
    <row r="13" spans="1:10" x14ac:dyDescent="0.2">
      <c r="A13" s="19"/>
      <c r="B13" s="19"/>
      <c r="C13" s="19"/>
      <c r="D13" s="19"/>
      <c r="E13" s="19"/>
      <c r="F13" s="19"/>
      <c r="G13" s="19"/>
    </row>
    <row r="14" spans="1:10" x14ac:dyDescent="0.2">
      <c r="A14" s="19"/>
      <c r="B14" s="19"/>
      <c r="C14" s="19"/>
      <c r="D14" s="19"/>
      <c r="E14" s="19"/>
      <c r="F14" s="19"/>
      <c r="G14" s="19"/>
    </row>
    <row r="15" spans="1:10" x14ac:dyDescent="0.2">
      <c r="A15" s="19"/>
      <c r="B15" s="19"/>
      <c r="C15" s="19"/>
      <c r="D15" s="19"/>
      <c r="E15" s="19"/>
      <c r="F15" s="19"/>
      <c r="G15" s="19"/>
    </row>
    <row r="16" spans="1:10" x14ac:dyDescent="0.2">
      <c r="A16" s="19"/>
      <c r="B16" s="19"/>
      <c r="C16" s="19"/>
      <c r="D16" s="19"/>
      <c r="E16" s="19"/>
      <c r="F16" s="19"/>
      <c r="G16" s="19"/>
    </row>
    <row r="17" spans="1:7" x14ac:dyDescent="0.2">
      <c r="A17" s="19"/>
      <c r="B17" s="19"/>
      <c r="C17" s="19"/>
      <c r="D17" s="19"/>
      <c r="E17" s="19"/>
      <c r="F17" s="19"/>
      <c r="G17" s="19"/>
    </row>
    <row r="18" spans="1:7" x14ac:dyDescent="0.2">
      <c r="A18" s="19"/>
      <c r="B18" s="19"/>
      <c r="C18" s="19"/>
      <c r="D18" s="19"/>
      <c r="E18" s="19"/>
      <c r="F18" s="19"/>
      <c r="G18" s="19"/>
    </row>
    <row r="19" spans="1:7" x14ac:dyDescent="0.2">
      <c r="A19" s="19"/>
      <c r="B19" s="19"/>
      <c r="C19" s="19"/>
      <c r="D19" s="19"/>
      <c r="E19" s="19"/>
      <c r="F19" s="19"/>
      <c r="G19" s="19"/>
    </row>
    <row r="20" spans="1:7" x14ac:dyDescent="0.2">
      <c r="A20" s="19"/>
      <c r="B20" s="19"/>
      <c r="C20" s="19"/>
      <c r="D20" s="19"/>
      <c r="E20" s="19"/>
      <c r="F20" s="19"/>
      <c r="G20" s="19"/>
    </row>
    <row r="21" spans="1:7" x14ac:dyDescent="0.2">
      <c r="A21" s="19"/>
      <c r="B21" s="19"/>
      <c r="C21" s="19"/>
      <c r="D21" s="19"/>
      <c r="E21" s="19"/>
      <c r="F21" s="19"/>
      <c r="G21" s="19"/>
    </row>
    <row r="22" spans="1:7" x14ac:dyDescent="0.2">
      <c r="A22" s="96"/>
      <c r="B22" s="96"/>
      <c r="C22" s="96"/>
      <c r="D22" s="19"/>
      <c r="E22" s="19"/>
      <c r="F22" s="19"/>
      <c r="G22" s="19"/>
    </row>
    <row r="23" spans="1:7" x14ac:dyDescent="0.2">
      <c r="A23" s="96"/>
      <c r="B23" s="96"/>
      <c r="C23" s="96"/>
      <c r="D23" s="19"/>
      <c r="E23" s="19"/>
      <c r="F23" s="19"/>
      <c r="G23" s="19"/>
    </row>
    <row r="24" spans="1:7" x14ac:dyDescent="0.2">
      <c r="A24" s="96"/>
      <c r="B24" s="417"/>
      <c r="C24" s="96"/>
      <c r="D24" s="19"/>
      <c r="E24" s="19"/>
      <c r="F24" s="19"/>
      <c r="G24" s="19"/>
    </row>
    <row r="25" spans="1:7" x14ac:dyDescent="0.2">
      <c r="A25" s="96"/>
      <c r="B25" s="417"/>
      <c r="C25" s="96"/>
      <c r="D25" s="19"/>
      <c r="E25" s="19"/>
      <c r="F25" s="19"/>
      <c r="G25" s="19"/>
    </row>
    <row r="26" spans="1:7" x14ac:dyDescent="0.2">
      <c r="A26" s="96"/>
      <c r="B26" s="96"/>
      <c r="C26" s="96"/>
      <c r="D26" s="19"/>
      <c r="E26" s="19"/>
      <c r="F26" s="19"/>
      <c r="G26" s="19"/>
    </row>
    <row r="27" spans="1:7" x14ac:dyDescent="0.2">
      <c r="A27" s="19"/>
      <c r="B27" s="19"/>
      <c r="C27" s="19"/>
      <c r="D27" s="19"/>
      <c r="E27" s="19"/>
      <c r="F27" s="19"/>
      <c r="G27" s="19"/>
    </row>
    <row r="28" spans="1:7" x14ac:dyDescent="0.2">
      <c r="A28" s="19"/>
      <c r="B28" s="19"/>
      <c r="C28" s="19"/>
      <c r="D28" s="19"/>
      <c r="E28" s="19"/>
      <c r="F28" s="19"/>
      <c r="G28" s="19"/>
    </row>
    <row r="29" spans="1:7" x14ac:dyDescent="0.2">
      <c r="A29" s="19"/>
      <c r="B29" s="19"/>
      <c r="C29" s="19"/>
      <c r="D29" s="19"/>
      <c r="E29" s="19"/>
      <c r="F29" s="19"/>
      <c r="G29" s="19"/>
    </row>
    <row r="30" spans="1:7" x14ac:dyDescent="0.2">
      <c r="A30" s="19"/>
      <c r="B30" s="19"/>
      <c r="C30" s="19"/>
      <c r="D30" s="19"/>
      <c r="E30" s="19"/>
      <c r="F30" s="19"/>
      <c r="G30" s="19"/>
    </row>
    <row r="31" spans="1:7" x14ac:dyDescent="0.2">
      <c r="A31" s="19"/>
      <c r="B31" s="19"/>
      <c r="C31" s="19"/>
      <c r="D31" s="19"/>
      <c r="E31" s="19"/>
      <c r="F31" s="19"/>
      <c r="G31" s="19"/>
    </row>
    <row r="32" spans="1:7" x14ac:dyDescent="0.2">
      <c r="A32" s="19"/>
      <c r="B32" s="19"/>
      <c r="C32" s="19"/>
      <c r="D32" s="19"/>
      <c r="E32" s="19"/>
      <c r="F32" s="19"/>
      <c r="G32" s="19"/>
    </row>
    <row r="33" spans="1:7" x14ac:dyDescent="0.2">
      <c r="A33" s="19"/>
      <c r="B33" s="19"/>
      <c r="C33" s="19"/>
      <c r="D33" s="19"/>
      <c r="E33" s="19"/>
      <c r="F33" s="19"/>
      <c r="G33" s="19"/>
    </row>
    <row r="34" spans="1:7" x14ac:dyDescent="0.2">
      <c r="A34" s="19"/>
      <c r="B34" s="19"/>
      <c r="C34" s="19"/>
      <c r="D34" s="19"/>
      <c r="E34" s="19"/>
      <c r="F34" s="19"/>
      <c r="G34" s="19"/>
    </row>
    <row r="35" spans="1:7" x14ac:dyDescent="0.2">
      <c r="A35" s="19"/>
      <c r="B35" s="19"/>
      <c r="C35" s="19"/>
      <c r="D35" s="19"/>
      <c r="E35" s="19"/>
      <c r="F35" s="19"/>
      <c r="G35" s="19"/>
    </row>
    <row r="36" spans="1:7" x14ac:dyDescent="0.2">
      <c r="A36" s="19"/>
      <c r="B36" s="19"/>
      <c r="C36" s="19"/>
      <c r="D36" s="19"/>
      <c r="E36" s="19"/>
      <c r="F36" s="19"/>
      <c r="G36" s="19"/>
    </row>
    <row r="37" spans="1:7" x14ac:dyDescent="0.2">
      <c r="A37" s="19"/>
      <c r="B37" s="19"/>
      <c r="C37" s="19"/>
      <c r="D37" s="19"/>
      <c r="E37" s="19"/>
      <c r="F37" s="19"/>
      <c r="G37" s="19"/>
    </row>
    <row r="38" spans="1:7" x14ac:dyDescent="0.2">
      <c r="A38" s="19"/>
      <c r="B38" s="19"/>
      <c r="C38" s="19"/>
      <c r="D38" s="19"/>
      <c r="E38" s="19"/>
      <c r="F38" s="19"/>
      <c r="G38" s="19"/>
    </row>
    <row r="39" spans="1:7" x14ac:dyDescent="0.2">
      <c r="A39" s="19"/>
      <c r="B39" s="19"/>
      <c r="C39" s="19"/>
      <c r="D39" s="19"/>
      <c r="E39" s="19"/>
      <c r="F39" s="19"/>
      <c r="G39" s="19"/>
    </row>
    <row r="40" spans="1:7" x14ac:dyDescent="0.2">
      <c r="A40" s="19"/>
      <c r="B40" s="19"/>
      <c r="C40" s="19"/>
      <c r="D40" s="19"/>
      <c r="E40" s="19"/>
      <c r="F40" s="19"/>
      <c r="G40" s="19"/>
    </row>
    <row r="41" spans="1:7" x14ac:dyDescent="0.2">
      <c r="A41" s="19"/>
      <c r="B41" s="19"/>
      <c r="C41" s="19"/>
      <c r="D41" s="19"/>
      <c r="E41" s="19"/>
      <c r="F41" s="19"/>
      <c r="G41" s="19"/>
    </row>
    <row r="42" spans="1:7" x14ac:dyDescent="0.2">
      <c r="A42" s="19"/>
      <c r="B42" s="19"/>
      <c r="C42" s="19"/>
      <c r="D42" s="19"/>
      <c r="E42" s="19"/>
      <c r="F42" s="19"/>
      <c r="G42" s="19"/>
    </row>
    <row r="43" spans="1:7" x14ac:dyDescent="0.2">
      <c r="A43" s="19"/>
      <c r="B43" s="19"/>
      <c r="C43" s="19"/>
      <c r="D43" s="19"/>
      <c r="E43" s="19"/>
      <c r="F43" s="19"/>
      <c r="G43" s="19"/>
    </row>
    <row r="44" spans="1:7" x14ac:dyDescent="0.2">
      <c r="A44" s="19"/>
      <c r="B44" s="19"/>
      <c r="C44" s="19"/>
      <c r="D44" s="19"/>
      <c r="E44" s="19"/>
      <c r="F44" s="19"/>
      <c r="G44" s="19"/>
    </row>
    <row r="45" spans="1:7" x14ac:dyDescent="0.2">
      <c r="A45" s="19"/>
      <c r="B45" s="19"/>
      <c r="C45" s="19"/>
      <c r="D45" s="19"/>
      <c r="E45" s="19"/>
      <c r="F45" s="19"/>
      <c r="G45" s="19"/>
    </row>
    <row r="46" spans="1:7" x14ac:dyDescent="0.2">
      <c r="A46" s="19"/>
      <c r="B46" s="19"/>
      <c r="C46" s="19"/>
      <c r="D46" s="19"/>
      <c r="E46" s="19"/>
      <c r="F46" s="19"/>
      <c r="G46" s="19"/>
    </row>
  </sheetData>
  <sheetProtection sheet="1" objects="1" scenarios="1" formatCells="0" formatColumns="0" formatRows="0"/>
  <protectedRanges>
    <protectedRange sqref="A6:B6" name="Range1"/>
  </protectedRanges>
  <mergeCells count="3">
    <mergeCell ref="D5:E5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J41"/>
  <sheetViews>
    <sheetView workbookViewId="0">
      <selection activeCell="C8" sqref="C8"/>
    </sheetView>
  </sheetViews>
  <sheetFormatPr defaultRowHeight="12.75" x14ac:dyDescent="0.2"/>
  <cols>
    <col min="1" max="1" width="14" customWidth="1"/>
    <col min="5" max="5" width="5.28515625" customWidth="1"/>
    <col min="6" max="9" width="8.7109375" customWidth="1"/>
  </cols>
  <sheetData>
    <row r="1" spans="1:9" ht="12.75" customHeight="1" x14ac:dyDescent="0.2">
      <c r="A1" s="7" t="s">
        <v>239</v>
      </c>
      <c r="I1" s="326"/>
    </row>
    <row r="2" spans="1:9" ht="12.75" customHeight="1" x14ac:dyDescent="0.2">
      <c r="A2" s="328" t="s">
        <v>240</v>
      </c>
      <c r="B2" s="328"/>
      <c r="C2" s="470"/>
      <c r="D2" s="470"/>
      <c r="E2" s="470"/>
      <c r="F2" s="470"/>
      <c r="G2" s="470"/>
      <c r="H2" s="186"/>
      <c r="I2" s="326"/>
    </row>
    <row r="3" spans="1:9" ht="12.75" customHeight="1" x14ac:dyDescent="0.2">
      <c r="A3" s="19"/>
      <c r="B3" s="19"/>
      <c r="C3" s="19"/>
      <c r="D3" s="19"/>
      <c r="E3" s="19"/>
      <c r="F3" s="19"/>
      <c r="G3" s="19"/>
    </row>
    <row r="4" spans="1:9" ht="12.75" customHeight="1" x14ac:dyDescent="0.2">
      <c r="A4" s="19"/>
      <c r="B4" s="19"/>
      <c r="C4" s="19"/>
      <c r="D4" s="19"/>
      <c r="E4" s="19"/>
      <c r="F4" s="19"/>
      <c r="G4" s="19"/>
      <c r="H4" s="19"/>
    </row>
    <row r="5" spans="1:9" ht="12.75" customHeight="1" x14ac:dyDescent="0.2">
      <c r="A5" s="19"/>
      <c r="B5" s="734" t="s">
        <v>226</v>
      </c>
      <c r="C5" s="734"/>
      <c r="D5" s="734"/>
      <c r="F5" s="734" t="s">
        <v>86</v>
      </c>
      <c r="G5" s="734"/>
      <c r="H5" s="734"/>
      <c r="I5" s="734"/>
    </row>
    <row r="6" spans="1:9" ht="12.75" customHeight="1" x14ac:dyDescent="0.2">
      <c r="A6" s="19"/>
      <c r="B6" s="19"/>
      <c r="C6" s="19"/>
      <c r="D6" s="19"/>
      <c r="E6" s="19"/>
      <c r="F6" s="192"/>
      <c r="G6" s="192"/>
      <c r="H6" s="26"/>
    </row>
    <row r="7" spans="1:9" ht="12.75" customHeight="1" x14ac:dyDescent="0.2">
      <c r="A7" s="160" t="s">
        <v>50</v>
      </c>
      <c r="B7" s="161" t="s">
        <v>32</v>
      </c>
      <c r="C7" s="161" t="s">
        <v>33</v>
      </c>
      <c r="D7" s="19"/>
      <c r="E7" s="19"/>
      <c r="F7" s="21" t="s">
        <v>33</v>
      </c>
      <c r="G7" s="22" t="s">
        <v>32</v>
      </c>
      <c r="H7" s="34"/>
    </row>
    <row r="8" spans="1:9" ht="12.75" customHeight="1" x14ac:dyDescent="0.2">
      <c r="A8" s="19"/>
      <c r="B8" s="534">
        <v>1.96</v>
      </c>
      <c r="C8" s="535">
        <f>IF(B8,IF(2*(1-NORMSDIST(ABS(B8)))&gt;=0.001,2*(1-NORMSDIST(ABS(B8))),"&lt;0.001"),"")</f>
        <v>4.9995790296440967E-2</v>
      </c>
      <c r="D8" s="536"/>
      <c r="E8" s="536"/>
      <c r="F8" s="531">
        <v>0.05</v>
      </c>
      <c r="G8" s="537">
        <f t="shared" ref="G8:G15" si="0">IF(F8,NORMSINV(1-F8/2),"")</f>
        <v>1.9599639845400536</v>
      </c>
      <c r="H8" s="32"/>
    </row>
    <row r="9" spans="1:9" ht="12.75" customHeight="1" x14ac:dyDescent="0.2">
      <c r="A9" s="19"/>
      <c r="B9" s="538"/>
      <c r="C9" s="535" t="str">
        <f t="shared" ref="C9:C15" si="1">IF(B9,IF(2*(1-NORMSDIST(ABS(B9)))&gt;=0.001,2*(1-NORMSDIST(ABS(B9))),"&lt;0.001"),"")</f>
        <v/>
      </c>
      <c r="D9" s="536"/>
      <c r="E9" s="536"/>
      <c r="F9" s="532">
        <v>0.1</v>
      </c>
      <c r="G9" s="539">
        <f t="shared" si="0"/>
        <v>1.6448536269514715</v>
      </c>
      <c r="H9" s="32"/>
    </row>
    <row r="10" spans="1:9" ht="12.75" customHeight="1" x14ac:dyDescent="0.2">
      <c r="A10" s="19"/>
      <c r="B10" s="538"/>
      <c r="C10" s="535" t="str">
        <f t="shared" si="1"/>
        <v/>
      </c>
      <c r="D10" s="536"/>
      <c r="E10" s="536"/>
      <c r="F10" s="532">
        <v>0.2</v>
      </c>
      <c r="G10" s="539">
        <f t="shared" si="0"/>
        <v>1.2815515655446006</v>
      </c>
      <c r="H10" s="32"/>
    </row>
    <row r="11" spans="1:9" ht="12.75" customHeight="1" x14ac:dyDescent="0.2">
      <c r="A11" s="19"/>
      <c r="B11" s="538"/>
      <c r="C11" s="535" t="str">
        <f t="shared" si="1"/>
        <v/>
      </c>
      <c r="D11" s="536"/>
      <c r="E11" s="536"/>
      <c r="F11" s="532"/>
      <c r="G11" s="539" t="str">
        <f t="shared" si="0"/>
        <v/>
      </c>
      <c r="H11" s="32"/>
    </row>
    <row r="12" spans="1:9" ht="12.75" customHeight="1" x14ac:dyDescent="0.2">
      <c r="A12" s="19"/>
      <c r="B12" s="538"/>
      <c r="C12" s="535" t="str">
        <f t="shared" si="1"/>
        <v/>
      </c>
      <c r="D12" s="536"/>
      <c r="E12" s="536"/>
      <c r="F12" s="532"/>
      <c r="G12" s="539" t="str">
        <f t="shared" si="0"/>
        <v/>
      </c>
      <c r="H12" s="32"/>
    </row>
    <row r="13" spans="1:9" ht="12.75" customHeight="1" x14ac:dyDescent="0.2">
      <c r="A13" s="19"/>
      <c r="B13" s="538"/>
      <c r="C13" s="535" t="str">
        <f t="shared" si="1"/>
        <v/>
      </c>
      <c r="D13" s="536"/>
      <c r="E13" s="536"/>
      <c r="F13" s="532"/>
      <c r="G13" s="539" t="str">
        <f t="shared" si="0"/>
        <v/>
      </c>
      <c r="H13" s="32"/>
    </row>
    <row r="14" spans="1:9" ht="12.75" customHeight="1" x14ac:dyDescent="0.2">
      <c r="A14" s="19"/>
      <c r="B14" s="538"/>
      <c r="C14" s="535" t="str">
        <f t="shared" si="1"/>
        <v/>
      </c>
      <c r="D14" s="536"/>
      <c r="E14" s="536"/>
      <c r="F14" s="532"/>
      <c r="G14" s="539" t="str">
        <f t="shared" si="0"/>
        <v/>
      </c>
      <c r="H14" s="32"/>
    </row>
    <row r="15" spans="1:9" ht="12.75" customHeight="1" x14ac:dyDescent="0.2">
      <c r="A15" s="19"/>
      <c r="B15" s="540"/>
      <c r="C15" s="535" t="str">
        <f t="shared" si="1"/>
        <v/>
      </c>
      <c r="D15" s="536"/>
      <c r="E15" s="536"/>
      <c r="F15" s="533"/>
      <c r="G15" s="541" t="str">
        <f t="shared" si="0"/>
        <v/>
      </c>
      <c r="H15" s="32"/>
    </row>
    <row r="16" spans="1:9" ht="12.75" customHeight="1" x14ac:dyDescent="0.2">
      <c r="A16" s="19"/>
      <c r="B16" s="19"/>
      <c r="C16" s="19"/>
      <c r="D16" s="19"/>
      <c r="E16" s="19"/>
      <c r="F16" s="32"/>
      <c r="G16" s="32"/>
      <c r="H16" s="32"/>
    </row>
    <row r="17" spans="1:8" ht="12.75" customHeight="1" x14ac:dyDescent="0.2">
      <c r="A17" s="19"/>
      <c r="B17" s="19"/>
      <c r="C17" s="19"/>
      <c r="D17" s="19"/>
      <c r="E17" s="19"/>
      <c r="F17" s="32"/>
      <c r="G17" s="32"/>
      <c r="H17" s="32"/>
    </row>
    <row r="18" spans="1:8" ht="12.75" customHeight="1" x14ac:dyDescent="0.2">
      <c r="A18" s="160" t="s">
        <v>51</v>
      </c>
      <c r="B18" s="22" t="s">
        <v>49</v>
      </c>
      <c r="C18" s="22" t="s">
        <v>35</v>
      </c>
      <c r="D18" s="22" t="s">
        <v>33</v>
      </c>
      <c r="E18" s="19"/>
      <c r="F18" s="21" t="s">
        <v>33</v>
      </c>
      <c r="G18" s="22" t="s">
        <v>35</v>
      </c>
      <c r="H18" s="24" t="s">
        <v>49</v>
      </c>
    </row>
    <row r="19" spans="1:8" ht="12.75" customHeight="1" x14ac:dyDescent="0.2">
      <c r="A19" s="19"/>
      <c r="B19" s="534">
        <v>1.96</v>
      </c>
      <c r="C19" s="189">
        <v>2</v>
      </c>
      <c r="D19" s="537">
        <f t="shared" ref="D19:D26" si="2">IF(B19,TDIST(B19,C19,2),"")</f>
        <v>0.18905730960173228</v>
      </c>
      <c r="E19" s="19"/>
      <c r="F19" s="531">
        <v>0.05</v>
      </c>
      <c r="G19" s="162">
        <v>20</v>
      </c>
      <c r="H19" s="543">
        <f t="shared" ref="H19:H26" si="3">IF(F19,TINV(F19,G19),"")</f>
        <v>2.0859634472658648</v>
      </c>
    </row>
    <row r="20" spans="1:8" ht="12.75" customHeight="1" x14ac:dyDescent="0.2">
      <c r="A20" s="19"/>
      <c r="B20" s="538">
        <v>2.5299999999999998</v>
      </c>
      <c r="C20" s="190">
        <v>3</v>
      </c>
      <c r="D20" s="537">
        <f t="shared" si="2"/>
        <v>8.5424119283706246E-2</v>
      </c>
      <c r="E20" s="19"/>
      <c r="F20" s="532">
        <v>0.05</v>
      </c>
      <c r="G20" s="163">
        <v>1000</v>
      </c>
      <c r="H20" s="544">
        <f t="shared" si="3"/>
        <v>1.9623390808264143</v>
      </c>
    </row>
    <row r="21" spans="1:8" ht="12.75" customHeight="1" x14ac:dyDescent="0.2">
      <c r="A21" s="19"/>
      <c r="B21" s="538">
        <v>1.96</v>
      </c>
      <c r="C21" s="190">
        <v>1000</v>
      </c>
      <c r="D21" s="537">
        <f t="shared" si="2"/>
        <v>5.0273184955748708E-2</v>
      </c>
      <c r="E21" s="19"/>
      <c r="F21" s="532"/>
      <c r="G21" s="163"/>
      <c r="H21" s="544" t="str">
        <f t="shared" si="3"/>
        <v/>
      </c>
    </row>
    <row r="22" spans="1:8" ht="12.75" customHeight="1" x14ac:dyDescent="0.2">
      <c r="A22" s="19"/>
      <c r="B22" s="538"/>
      <c r="C22" s="190"/>
      <c r="D22" s="537" t="str">
        <f t="shared" si="2"/>
        <v/>
      </c>
      <c r="E22" s="19"/>
      <c r="F22" s="532"/>
      <c r="G22" s="163"/>
      <c r="H22" s="544" t="str">
        <f t="shared" si="3"/>
        <v/>
      </c>
    </row>
    <row r="23" spans="1:8" ht="12.75" customHeight="1" x14ac:dyDescent="0.2">
      <c r="A23" s="19"/>
      <c r="B23" s="538"/>
      <c r="C23" s="190"/>
      <c r="D23" s="537" t="str">
        <f t="shared" si="2"/>
        <v/>
      </c>
      <c r="E23" s="19"/>
      <c r="F23" s="532"/>
      <c r="G23" s="163"/>
      <c r="H23" s="544" t="str">
        <f t="shared" si="3"/>
        <v/>
      </c>
    </row>
    <row r="24" spans="1:8" ht="12.75" customHeight="1" x14ac:dyDescent="0.2">
      <c r="A24" s="19"/>
      <c r="B24" s="538"/>
      <c r="C24" s="190"/>
      <c r="D24" s="537" t="str">
        <f t="shared" si="2"/>
        <v/>
      </c>
      <c r="E24" s="19"/>
      <c r="F24" s="532"/>
      <c r="G24" s="163"/>
      <c r="H24" s="544" t="str">
        <f t="shared" si="3"/>
        <v/>
      </c>
    </row>
    <row r="25" spans="1:8" ht="12.75" customHeight="1" x14ac:dyDescent="0.2">
      <c r="A25" s="19"/>
      <c r="B25" s="538"/>
      <c r="C25" s="190"/>
      <c r="D25" s="537" t="str">
        <f t="shared" si="2"/>
        <v/>
      </c>
      <c r="E25" s="19"/>
      <c r="F25" s="532"/>
      <c r="G25" s="163"/>
      <c r="H25" s="544" t="str">
        <f t="shared" si="3"/>
        <v/>
      </c>
    </row>
    <row r="26" spans="1:8" ht="12.75" customHeight="1" x14ac:dyDescent="0.2">
      <c r="A26" s="19"/>
      <c r="B26" s="540"/>
      <c r="C26" s="191"/>
      <c r="D26" s="542" t="str">
        <f t="shared" si="2"/>
        <v/>
      </c>
      <c r="E26" s="19"/>
      <c r="F26" s="533"/>
      <c r="G26" s="164"/>
      <c r="H26" s="545" t="str">
        <f t="shared" si="3"/>
        <v/>
      </c>
    </row>
    <row r="27" spans="1:8" ht="12.75" customHeight="1" x14ac:dyDescent="0.2">
      <c r="A27" s="19"/>
      <c r="B27" s="19"/>
      <c r="C27" s="19"/>
      <c r="D27" s="19"/>
      <c r="E27" s="19"/>
      <c r="F27" s="32"/>
      <c r="G27" s="32"/>
      <c r="H27" s="32"/>
    </row>
    <row r="28" spans="1:8" ht="12.75" customHeight="1" x14ac:dyDescent="0.2">
      <c r="A28" s="19"/>
      <c r="B28" s="19"/>
      <c r="C28" s="19"/>
      <c r="D28" s="19"/>
      <c r="E28" s="19"/>
      <c r="F28" s="32"/>
      <c r="G28" s="32"/>
      <c r="H28" s="32"/>
    </row>
    <row r="29" spans="1:8" ht="12.75" customHeight="1" x14ac:dyDescent="0.2">
      <c r="A29" s="167" t="s">
        <v>76</v>
      </c>
      <c r="B29" s="168" t="s">
        <v>77</v>
      </c>
      <c r="C29" s="22" t="s">
        <v>35</v>
      </c>
      <c r="D29" s="22" t="s">
        <v>33</v>
      </c>
      <c r="E29" s="19"/>
      <c r="F29" s="21" t="s">
        <v>33</v>
      </c>
      <c r="G29" s="22" t="s">
        <v>35</v>
      </c>
      <c r="H29" s="169" t="s">
        <v>77</v>
      </c>
    </row>
    <row r="30" spans="1:8" ht="12.75" customHeight="1" x14ac:dyDescent="0.2">
      <c r="A30" s="19"/>
      <c r="B30" s="547">
        <v>3.84</v>
      </c>
      <c r="C30" s="170">
        <v>1</v>
      </c>
      <c r="D30" s="546">
        <f t="shared" ref="D30:D37" si="4">IF(B30,CHIDIST(B30,C30),"")</f>
        <v>5.0043521248705113E-2</v>
      </c>
      <c r="E30" s="19"/>
      <c r="F30" s="547">
        <v>0.05</v>
      </c>
      <c r="G30" s="170">
        <v>1</v>
      </c>
      <c r="H30" s="546">
        <f t="shared" ref="H30:H37" si="5">IF(F30,CHIINV(F30,G30),"")</f>
        <v>3.8414588206941236</v>
      </c>
    </row>
    <row r="31" spans="1:8" ht="12.75" customHeight="1" x14ac:dyDescent="0.2">
      <c r="A31" s="19"/>
      <c r="B31" s="532">
        <v>22.31</v>
      </c>
      <c r="C31" s="163">
        <v>15</v>
      </c>
      <c r="D31" s="539">
        <f t="shared" si="4"/>
        <v>9.992938292236779E-2</v>
      </c>
      <c r="E31" s="19"/>
      <c r="F31" s="532">
        <v>0.05</v>
      </c>
      <c r="G31" s="163">
        <v>1</v>
      </c>
      <c r="H31" s="539">
        <f t="shared" si="5"/>
        <v>3.8414588206941236</v>
      </c>
    </row>
    <row r="32" spans="1:8" ht="12.75" customHeight="1" x14ac:dyDescent="0.2">
      <c r="A32" s="19"/>
      <c r="B32" s="532"/>
      <c r="C32" s="163"/>
      <c r="D32" s="539" t="str">
        <f t="shared" si="4"/>
        <v/>
      </c>
      <c r="E32" s="19"/>
      <c r="F32" s="532">
        <v>0.1</v>
      </c>
      <c r="G32" s="163">
        <v>15</v>
      </c>
      <c r="H32" s="539">
        <f t="shared" si="5"/>
        <v>22.307129581578689</v>
      </c>
    </row>
    <row r="33" spans="1:10" ht="12.75" customHeight="1" x14ac:dyDescent="0.2">
      <c r="A33" s="19"/>
      <c r="B33" s="532"/>
      <c r="C33" s="163"/>
      <c r="D33" s="539" t="str">
        <f t="shared" si="4"/>
        <v/>
      </c>
      <c r="E33" s="19"/>
      <c r="F33" s="532"/>
      <c r="G33" s="163"/>
      <c r="H33" s="539" t="str">
        <f t="shared" si="5"/>
        <v/>
      </c>
    </row>
    <row r="34" spans="1:10" ht="12.75" customHeight="1" x14ac:dyDescent="0.2">
      <c r="A34" s="19"/>
      <c r="B34" s="532"/>
      <c r="C34" s="163"/>
      <c r="D34" s="539" t="str">
        <f t="shared" si="4"/>
        <v/>
      </c>
      <c r="E34" s="19"/>
      <c r="F34" s="532"/>
      <c r="G34" s="163"/>
      <c r="H34" s="539" t="str">
        <f t="shared" si="5"/>
        <v/>
      </c>
    </row>
    <row r="35" spans="1:10" ht="12.75" customHeight="1" x14ac:dyDescent="0.2">
      <c r="A35" s="19"/>
      <c r="B35" s="532"/>
      <c r="C35" s="163"/>
      <c r="D35" s="539" t="str">
        <f t="shared" si="4"/>
        <v/>
      </c>
      <c r="E35" s="19"/>
      <c r="F35" s="532"/>
      <c r="G35" s="163"/>
      <c r="H35" s="539" t="str">
        <f t="shared" si="5"/>
        <v/>
      </c>
    </row>
    <row r="36" spans="1:10" ht="12.75" customHeight="1" x14ac:dyDescent="0.2">
      <c r="A36" s="19"/>
      <c r="B36" s="532"/>
      <c r="C36" s="163"/>
      <c r="D36" s="539" t="str">
        <f t="shared" si="4"/>
        <v/>
      </c>
      <c r="E36" s="19"/>
      <c r="F36" s="532"/>
      <c r="G36" s="163"/>
      <c r="H36" s="539" t="str">
        <f t="shared" si="5"/>
        <v/>
      </c>
    </row>
    <row r="37" spans="1:10" ht="12.75" customHeight="1" x14ac:dyDescent="0.2">
      <c r="A37" s="19"/>
      <c r="B37" s="533"/>
      <c r="C37" s="164"/>
      <c r="D37" s="541" t="str">
        <f t="shared" si="4"/>
        <v/>
      </c>
      <c r="E37" s="19"/>
      <c r="F37" s="533"/>
      <c r="G37" s="164"/>
      <c r="H37" s="541" t="str">
        <f t="shared" si="5"/>
        <v/>
      </c>
    </row>
    <row r="38" spans="1:10" ht="12.75" customHeight="1" x14ac:dyDescent="0.2">
      <c r="A38" s="19"/>
      <c r="B38" s="19"/>
      <c r="C38" s="19"/>
      <c r="D38" s="19"/>
      <c r="E38" s="19"/>
      <c r="F38" s="19"/>
      <c r="G38" s="19"/>
      <c r="H38" s="19"/>
    </row>
    <row r="39" spans="1:10" ht="12.75" customHeight="1" x14ac:dyDescent="0.2"/>
    <row r="40" spans="1:10" ht="12.75" customHeight="1" x14ac:dyDescent="0.2">
      <c r="A40" s="530" t="s">
        <v>87</v>
      </c>
      <c r="B40" s="328" t="s">
        <v>225</v>
      </c>
      <c r="C40" s="328"/>
      <c r="D40" s="328"/>
      <c r="E40" s="328"/>
      <c r="F40" s="328"/>
      <c r="G40" s="328"/>
      <c r="H40" s="328"/>
      <c r="I40" s="328"/>
      <c r="J40" s="429"/>
    </row>
    <row r="41" spans="1:10" ht="12.75" customHeight="1" x14ac:dyDescent="0.2">
      <c r="A41" s="193"/>
      <c r="B41" s="725"/>
      <c r="C41" s="725"/>
      <c r="D41" s="725"/>
      <c r="E41" s="725"/>
      <c r="F41" s="725"/>
      <c r="G41" s="725"/>
      <c r="H41" s="725"/>
      <c r="I41" s="725"/>
    </row>
  </sheetData>
  <sheetProtection sheet="1" formatCells="0" formatColumns="0" formatRows="0"/>
  <mergeCells count="3">
    <mergeCell ref="B41:I41"/>
    <mergeCell ref="B5:D5"/>
    <mergeCell ref="F5:I5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>
      <selection activeCell="I12" sqref="I12 C11:C12"/>
    </sheetView>
  </sheetViews>
  <sheetFormatPr defaultColWidth="9.140625" defaultRowHeight="12.75" x14ac:dyDescent="0.2"/>
  <cols>
    <col min="1" max="1" width="23.5703125" style="470" customWidth="1"/>
    <col min="2" max="2" width="9.140625" style="470"/>
    <col min="3" max="3" width="9.42578125" style="470" customWidth="1"/>
    <col min="4" max="4" width="9.140625" style="470"/>
    <col min="5" max="7" width="9.7109375" style="470" customWidth="1"/>
    <col min="8" max="8" width="8.7109375" style="470" customWidth="1"/>
    <col min="9" max="9" width="11.42578125" style="470" hidden="1" customWidth="1"/>
    <col min="10" max="10" width="11.85546875" style="470" hidden="1" customWidth="1"/>
    <col min="11" max="11" width="12.5703125" style="470" hidden="1" customWidth="1"/>
    <col min="12" max="16384" width="9.140625" style="470"/>
  </cols>
  <sheetData>
    <row r="1" spans="1:14" ht="12.75" customHeight="1" x14ac:dyDescent="0.2">
      <c r="A1" s="20" t="s">
        <v>271</v>
      </c>
      <c r="B1" s="19"/>
      <c r="C1" s="19"/>
      <c r="D1" s="19"/>
      <c r="E1" s="19"/>
      <c r="F1" s="19"/>
      <c r="G1" s="19"/>
      <c r="H1" s="19"/>
      <c r="I1" s="402"/>
      <c r="J1" s="19"/>
      <c r="K1" s="19"/>
      <c r="L1" s="19"/>
    </row>
    <row r="2" spans="1:14" ht="12.75" customHeight="1" x14ac:dyDescent="0.2">
      <c r="A2" s="623" t="s">
        <v>272</v>
      </c>
      <c r="B2" s="623"/>
      <c r="C2" s="19"/>
      <c r="D2" s="19"/>
      <c r="E2" s="19"/>
      <c r="F2" s="19"/>
      <c r="G2" s="19"/>
      <c r="H2" s="572"/>
      <c r="I2" s="402"/>
      <c r="J2" s="19"/>
      <c r="K2" s="19"/>
      <c r="L2" s="19"/>
    </row>
    <row r="3" spans="1:14" ht="12.7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4" ht="12.75" customHeight="1" x14ac:dyDescent="0.2">
      <c r="A4" s="135" t="s">
        <v>281</v>
      </c>
      <c r="B4" s="19"/>
      <c r="C4" s="19"/>
      <c r="D4" s="19"/>
      <c r="E4" s="19"/>
      <c r="F4" s="19"/>
      <c r="G4" s="19"/>
      <c r="H4" s="19"/>
      <c r="I4" s="32" t="s">
        <v>175</v>
      </c>
      <c r="J4" s="737" t="s">
        <v>174</v>
      </c>
      <c r="K4" s="737"/>
      <c r="L4" s="19"/>
      <c r="M4" s="585"/>
      <c r="N4" s="585"/>
    </row>
    <row r="5" spans="1:14" ht="12.75" customHeight="1" x14ac:dyDescent="0.2">
      <c r="A5" s="19"/>
      <c r="B5" s="19"/>
      <c r="C5" s="19"/>
      <c r="D5" s="320"/>
      <c r="E5" s="320"/>
      <c r="F5" s="320"/>
      <c r="G5" s="320"/>
      <c r="H5" s="320"/>
      <c r="I5" s="320"/>
      <c r="J5" s="34"/>
      <c r="K5" s="120"/>
      <c r="L5" s="19"/>
      <c r="M5" s="585"/>
      <c r="N5" s="585"/>
    </row>
    <row r="6" spans="1:14" ht="12.75" customHeight="1" x14ac:dyDescent="0.2">
      <c r="A6" s="320" t="s">
        <v>273</v>
      </c>
      <c r="B6" s="32" t="s">
        <v>278</v>
      </c>
      <c r="C6" s="492">
        <v>0.05</v>
      </c>
      <c r="D6" s="320"/>
      <c r="E6" s="624"/>
      <c r="F6" s="624"/>
      <c r="G6" s="624"/>
      <c r="H6" s="320"/>
      <c r="I6" s="320"/>
      <c r="J6" s="34"/>
      <c r="K6" s="120"/>
      <c r="L6" s="19"/>
      <c r="M6" s="585"/>
      <c r="N6" s="585"/>
    </row>
    <row r="7" spans="1:14" ht="12.75" customHeight="1" x14ac:dyDescent="0.2">
      <c r="A7" s="320" t="s">
        <v>280</v>
      </c>
      <c r="B7" s="32" t="s">
        <v>279</v>
      </c>
      <c r="C7" s="492">
        <v>0.8</v>
      </c>
      <c r="D7" s="320"/>
      <c r="E7" s="624"/>
      <c r="F7" s="624"/>
      <c r="G7" s="624"/>
      <c r="H7" s="320"/>
      <c r="I7" s="320" t="b">
        <f>AND(C6&gt;0,C6&lt;1,C7&gt;0,C7&lt;1)</f>
        <v>1</v>
      </c>
      <c r="J7" s="34"/>
      <c r="K7" s="120"/>
      <c r="L7" s="19"/>
      <c r="M7" s="585"/>
      <c r="N7" s="585"/>
    </row>
    <row r="8" spans="1:14" ht="12.75" customHeight="1" x14ac:dyDescent="0.2">
      <c r="A8" s="625"/>
      <c r="B8" s="320"/>
      <c r="C8" s="320"/>
      <c r="D8" s="320"/>
      <c r="E8" s="624"/>
      <c r="F8" s="624"/>
      <c r="G8" s="624"/>
      <c r="H8" s="320"/>
      <c r="I8" s="320"/>
      <c r="J8" s="34"/>
      <c r="K8" s="120"/>
      <c r="L8" s="19"/>
      <c r="M8" s="585"/>
      <c r="N8" s="585"/>
    </row>
    <row r="9" spans="1:14" ht="12.75" customHeight="1" x14ac:dyDescent="0.2">
      <c r="A9" s="626" t="s">
        <v>274</v>
      </c>
      <c r="B9" s="320"/>
      <c r="C9" s="320"/>
      <c r="D9" s="320"/>
      <c r="E9" s="356"/>
      <c r="F9" s="356"/>
      <c r="G9" s="356"/>
      <c r="H9" s="320"/>
      <c r="I9" s="320"/>
      <c r="J9" s="34"/>
      <c r="K9" s="120"/>
      <c r="L9" s="19"/>
      <c r="M9" s="585"/>
      <c r="N9" s="585"/>
    </row>
    <row r="10" spans="1:14" ht="12.75" customHeight="1" x14ac:dyDescent="0.2">
      <c r="A10" s="320"/>
      <c r="B10" s="320"/>
      <c r="C10" s="320"/>
      <c r="D10" s="320"/>
      <c r="E10" s="736" t="s">
        <v>282</v>
      </c>
      <c r="F10" s="736"/>
      <c r="G10" s="736"/>
      <c r="H10" s="320"/>
      <c r="I10" s="320"/>
      <c r="J10" s="32" t="s">
        <v>285</v>
      </c>
      <c r="K10" s="120">
        <f>_xlfn.NORM.INV(1-C6/2,0,1)</f>
        <v>1.9599639845400536</v>
      </c>
      <c r="L10" s="19"/>
      <c r="M10" s="585"/>
      <c r="N10" s="585"/>
    </row>
    <row r="11" spans="1:14" ht="12.75" customHeight="1" x14ac:dyDescent="0.25">
      <c r="A11" s="320" t="s">
        <v>275</v>
      </c>
      <c r="B11" s="34" t="s">
        <v>288</v>
      </c>
      <c r="C11" s="370">
        <v>0.1</v>
      </c>
      <c r="D11" s="320"/>
      <c r="E11" s="627" t="s">
        <v>11</v>
      </c>
      <c r="F11" s="627" t="s">
        <v>5</v>
      </c>
      <c r="G11" s="627" t="s">
        <v>1</v>
      </c>
      <c r="H11" s="320"/>
      <c r="I11" s="320"/>
      <c r="J11" s="34" t="s">
        <v>286</v>
      </c>
      <c r="K11" s="120">
        <f>_xlfn.NORM.INV(C7,0,1)</f>
        <v>0.84162123357291474</v>
      </c>
      <c r="L11" s="19"/>
      <c r="M11" s="585"/>
      <c r="N11" s="585"/>
    </row>
    <row r="12" spans="1:14" ht="12.75" customHeight="1" x14ac:dyDescent="0.25">
      <c r="A12" s="320" t="s">
        <v>276</v>
      </c>
      <c r="B12" s="34" t="s">
        <v>289</v>
      </c>
      <c r="C12" s="370">
        <v>0.15</v>
      </c>
      <c r="D12" s="320"/>
      <c r="E12" s="632">
        <f>IF(I12,C12-C11,"")</f>
        <v>4.9999999999999989E-2</v>
      </c>
      <c r="F12" s="633">
        <f>IF(I12,C12/C11,"")</f>
        <v>1.4999999999999998</v>
      </c>
      <c r="G12" s="633">
        <f>IF(I12,C12*(1-C11)/(C11*(1-C12)),"")</f>
        <v>1.588235294117647</v>
      </c>
      <c r="H12" s="320"/>
      <c r="I12" s="320" t="b">
        <f>AND(C11&gt;0,C11&lt;1,C12&gt;0,C12&lt;1)</f>
        <v>1</v>
      </c>
      <c r="J12" s="656" t="s">
        <v>287</v>
      </c>
      <c r="K12" s="120">
        <f>(C11+C12*C13)/(1+C13)</f>
        <v>0.13999999999999999</v>
      </c>
      <c r="L12" s="19"/>
      <c r="M12" s="585"/>
      <c r="N12" s="585"/>
    </row>
    <row r="13" spans="1:14" ht="12.75" customHeight="1" x14ac:dyDescent="0.25">
      <c r="A13" s="325" t="s">
        <v>277</v>
      </c>
      <c r="B13" s="34" t="s">
        <v>303</v>
      </c>
      <c r="C13" s="492">
        <v>4</v>
      </c>
      <c r="D13" s="320"/>
      <c r="E13" s="624"/>
      <c r="F13" s="624"/>
      <c r="G13" s="624"/>
      <c r="H13" s="320"/>
      <c r="I13" s="320" t="b">
        <f>AND(I12,C13&gt;0)</f>
        <v>1</v>
      </c>
      <c r="J13" s="34" t="s">
        <v>283</v>
      </c>
      <c r="K13" s="120">
        <f>(K10*SQRT((1+1/C13)*K12*(1-K12))+K11*SQRT(C11*(1-C11)+C12*(1-C12)/C13))^2</f>
        <v>1.1112741974421754</v>
      </c>
      <c r="L13" s="19"/>
      <c r="M13" s="585"/>
      <c r="N13" s="585"/>
    </row>
    <row r="14" spans="1:14" ht="12.75" customHeight="1" x14ac:dyDescent="0.2">
      <c r="A14" s="320"/>
      <c r="B14" s="34"/>
      <c r="C14" s="320"/>
      <c r="D14" s="320"/>
      <c r="E14" s="624"/>
      <c r="F14" s="624"/>
      <c r="G14" s="624"/>
      <c r="H14" s="320"/>
      <c r="I14" s="19"/>
      <c r="J14" s="124" t="s">
        <v>284</v>
      </c>
      <c r="K14" s="117">
        <f>E12^2</f>
        <v>2.4999999999999988E-3</v>
      </c>
      <c r="L14" s="19"/>
      <c r="M14" s="585"/>
      <c r="N14" s="585"/>
    </row>
    <row r="15" spans="1:14" ht="12.75" customHeight="1" x14ac:dyDescent="0.2">
      <c r="A15" s="625" t="s">
        <v>290</v>
      </c>
      <c r="B15" s="34"/>
      <c r="C15" s="320"/>
      <c r="D15" s="320"/>
      <c r="E15" s="624"/>
      <c r="F15" s="624"/>
      <c r="G15" s="624"/>
      <c r="H15" s="320"/>
      <c r="I15" s="320"/>
      <c r="J15" s="34"/>
      <c r="K15" s="120"/>
      <c r="L15" s="19"/>
      <c r="M15" s="585"/>
      <c r="N15" s="585"/>
    </row>
    <row r="16" spans="1:14" ht="12.75" customHeight="1" x14ac:dyDescent="0.25">
      <c r="A16" s="320" t="s">
        <v>291</v>
      </c>
      <c r="B16" s="294" t="s">
        <v>292</v>
      </c>
      <c r="C16" s="628">
        <f>IF(I16,CEILING(K13/K14,1),"")</f>
        <v>445</v>
      </c>
      <c r="D16" s="320"/>
      <c r="E16" s="624"/>
      <c r="F16" s="624"/>
      <c r="G16" s="624"/>
      <c r="H16" s="320"/>
      <c r="I16" s="320" t="b">
        <f>AND(I7,I13)</f>
        <v>1</v>
      </c>
      <c r="J16" s="34"/>
      <c r="K16" s="120"/>
      <c r="L16" s="19"/>
      <c r="M16" s="585"/>
      <c r="N16" s="585"/>
    </row>
    <row r="17" spans="1:14" ht="12.75" customHeight="1" x14ac:dyDescent="0.25">
      <c r="A17" s="320" t="s">
        <v>293</v>
      </c>
      <c r="B17" s="592" t="s">
        <v>294</v>
      </c>
      <c r="C17" s="593">
        <f>IF(I16,CEILING(K13/K14*C13,1),"")</f>
        <v>1779</v>
      </c>
      <c r="D17" s="320"/>
      <c r="E17" s="624"/>
      <c r="F17" s="624"/>
      <c r="G17" s="624"/>
      <c r="H17" s="320"/>
      <c r="I17" s="320"/>
      <c r="J17" s="34"/>
      <c r="K17" s="120"/>
      <c r="L17" s="19"/>
      <c r="M17" s="585"/>
      <c r="N17" s="585"/>
    </row>
    <row r="18" spans="1:14" ht="12.75" customHeight="1" x14ac:dyDescent="0.25">
      <c r="A18" s="320" t="s">
        <v>36</v>
      </c>
      <c r="B18" s="592" t="s">
        <v>295</v>
      </c>
      <c r="C18" s="629">
        <f>IF(I16,C16+C17,"")</f>
        <v>2224</v>
      </c>
      <c r="D18" s="320"/>
      <c r="E18" s="624"/>
      <c r="F18" s="624"/>
      <c r="G18" s="624"/>
      <c r="H18" s="320"/>
      <c r="I18" s="320"/>
      <c r="J18" s="34"/>
      <c r="K18" s="120"/>
      <c r="L18" s="19"/>
      <c r="M18" s="585"/>
      <c r="N18" s="585"/>
    </row>
    <row r="19" spans="1:14" ht="12.75" customHeight="1" x14ac:dyDescent="0.2">
      <c r="A19" s="320"/>
      <c r="B19" s="34"/>
      <c r="C19" s="320"/>
      <c r="D19" s="320"/>
      <c r="E19" s="624"/>
      <c r="F19" s="624"/>
      <c r="G19" s="624"/>
      <c r="H19" s="320"/>
      <c r="I19" s="320"/>
      <c r="J19" s="34"/>
      <c r="K19" s="120"/>
      <c r="L19" s="19"/>
      <c r="M19" s="585"/>
      <c r="N19" s="585"/>
    </row>
    <row r="20" spans="1:14" ht="12.75" customHeight="1" x14ac:dyDescent="0.2">
      <c r="A20" s="320"/>
      <c r="B20" s="34"/>
      <c r="C20" s="320"/>
      <c r="D20" s="320"/>
      <c r="E20" s="624"/>
      <c r="F20" s="624"/>
      <c r="G20" s="624"/>
      <c r="H20" s="320"/>
      <c r="I20" s="320"/>
      <c r="J20" s="34"/>
      <c r="K20" s="120"/>
      <c r="L20" s="19"/>
      <c r="M20" s="585"/>
      <c r="N20" s="585"/>
    </row>
    <row r="21" spans="1:14" ht="12.75" customHeight="1" x14ac:dyDescent="0.2">
      <c r="A21" s="626" t="s">
        <v>296</v>
      </c>
      <c r="B21" s="34"/>
      <c r="C21" s="320"/>
      <c r="D21" s="320"/>
      <c r="E21" s="320"/>
      <c r="F21" s="320"/>
      <c r="G21" s="320"/>
      <c r="H21" s="320"/>
      <c r="I21" s="320"/>
      <c r="J21" s="34"/>
      <c r="K21" s="120"/>
      <c r="L21" s="19"/>
      <c r="M21" s="585"/>
      <c r="N21" s="585"/>
    </row>
    <row r="22" spans="1:14" ht="12.75" customHeight="1" x14ac:dyDescent="0.2">
      <c r="A22" s="320"/>
      <c r="B22" s="34"/>
      <c r="C22" s="320"/>
      <c r="D22" s="320"/>
      <c r="E22" s="738" t="s">
        <v>305</v>
      </c>
      <c r="F22" s="738"/>
      <c r="G22" s="738"/>
      <c r="H22" s="320"/>
      <c r="I22" s="320"/>
      <c r="J22" s="34"/>
      <c r="K22" s="120"/>
      <c r="L22" s="19"/>
      <c r="M22" s="585"/>
      <c r="N22" s="585"/>
    </row>
    <row r="23" spans="1:14" ht="12.75" customHeight="1" x14ac:dyDescent="0.25">
      <c r="A23" s="320" t="s">
        <v>297</v>
      </c>
      <c r="B23" s="34" t="s">
        <v>300</v>
      </c>
      <c r="C23" s="492">
        <v>3450</v>
      </c>
      <c r="D23" s="320"/>
      <c r="E23" s="631"/>
      <c r="F23" s="588" t="s">
        <v>304</v>
      </c>
      <c r="G23" s="631"/>
      <c r="H23" s="320"/>
      <c r="I23" s="320"/>
      <c r="J23" s="34"/>
      <c r="K23" s="120"/>
      <c r="L23" s="19"/>
      <c r="M23" s="585"/>
      <c r="N23" s="585"/>
    </row>
    <row r="24" spans="1:14" ht="12.75" customHeight="1" x14ac:dyDescent="0.25">
      <c r="A24" s="320" t="s">
        <v>298</v>
      </c>
      <c r="B24" s="34" t="s">
        <v>301</v>
      </c>
      <c r="C24" s="492">
        <v>3600</v>
      </c>
      <c r="D24" s="320"/>
      <c r="F24" s="95">
        <f>IF(I24,C24-C23,"")</f>
        <v>150</v>
      </c>
      <c r="G24" s="320"/>
      <c r="H24" s="320"/>
      <c r="I24" s="320" t="b">
        <f>AND(NOT(ISBLANK(C23)),NOT(ISBLANK(C24)))</f>
        <v>1</v>
      </c>
      <c r="J24" s="34"/>
      <c r="K24" s="120"/>
      <c r="L24" s="19"/>
      <c r="M24" s="585"/>
      <c r="N24" s="585"/>
    </row>
    <row r="25" spans="1:14" ht="12.75" customHeight="1" x14ac:dyDescent="0.2">
      <c r="A25" s="320" t="s">
        <v>299</v>
      </c>
      <c r="B25" s="34" t="s">
        <v>302</v>
      </c>
      <c r="C25" s="492">
        <v>450</v>
      </c>
      <c r="D25" s="320"/>
      <c r="E25" s="320"/>
      <c r="F25" s="320"/>
      <c r="G25" s="320"/>
      <c r="H25" s="320"/>
      <c r="I25" s="320"/>
      <c r="J25" s="34"/>
      <c r="K25" s="120"/>
      <c r="L25" s="19"/>
      <c r="M25" s="585"/>
      <c r="N25" s="585"/>
    </row>
    <row r="26" spans="1:14" ht="12.75" customHeight="1" x14ac:dyDescent="0.25">
      <c r="A26" s="325" t="s">
        <v>277</v>
      </c>
      <c r="B26" s="34" t="s">
        <v>303</v>
      </c>
      <c r="C26" s="492">
        <v>0.2</v>
      </c>
      <c r="D26" s="320"/>
      <c r="E26" s="320"/>
      <c r="F26" s="320"/>
      <c r="G26" s="320"/>
      <c r="H26" s="320"/>
      <c r="I26" s="320" t="b">
        <f>AND(I24,C25&gt;0,C26&gt;0)</f>
        <v>1</v>
      </c>
      <c r="J26" s="34"/>
      <c r="K26" s="120"/>
      <c r="L26" s="19"/>
      <c r="M26" s="585"/>
      <c r="N26" s="585"/>
    </row>
    <row r="27" spans="1:14" ht="12.75" customHeight="1" x14ac:dyDescent="0.2">
      <c r="A27" s="625"/>
      <c r="B27" s="320"/>
      <c r="C27" s="320"/>
      <c r="D27" s="320"/>
      <c r="E27" s="320"/>
      <c r="F27" s="320"/>
      <c r="G27" s="320"/>
      <c r="H27" s="320"/>
      <c r="I27" s="320"/>
      <c r="J27" s="34"/>
      <c r="K27" s="120"/>
      <c r="L27" s="19"/>
      <c r="M27" s="585"/>
      <c r="N27" s="585"/>
    </row>
    <row r="28" spans="1:14" ht="12.75" customHeight="1" x14ac:dyDescent="0.2">
      <c r="A28" s="625" t="s">
        <v>290</v>
      </c>
      <c r="B28" s="320"/>
      <c r="C28" s="320"/>
      <c r="D28" s="320"/>
      <c r="E28" s="320"/>
      <c r="F28" s="320"/>
      <c r="G28" s="320"/>
      <c r="H28" s="320"/>
      <c r="I28" s="320"/>
      <c r="J28" s="34"/>
      <c r="K28" s="120"/>
      <c r="L28" s="19"/>
      <c r="M28" s="585"/>
      <c r="N28" s="585"/>
    </row>
    <row r="29" spans="1:14" ht="12.75" customHeight="1" x14ac:dyDescent="0.25">
      <c r="A29" s="320" t="s">
        <v>291</v>
      </c>
      <c r="B29" s="294" t="s">
        <v>292</v>
      </c>
      <c r="C29" s="628">
        <f>IF(I29,CEILING((1+1/C26)*K29*C25^2/F24^2,1),"")</f>
        <v>424</v>
      </c>
      <c r="D29" s="320"/>
      <c r="E29" s="320"/>
      <c r="F29" s="320"/>
      <c r="G29" s="320"/>
      <c r="H29" s="320"/>
      <c r="I29" s="320" t="b">
        <f>AND(I26,I7)</f>
        <v>1</v>
      </c>
      <c r="J29" s="34" t="s">
        <v>306</v>
      </c>
      <c r="K29" s="32">
        <f>(K10+K11)^2</f>
        <v>7.8488797343490884</v>
      </c>
      <c r="L29" s="19"/>
      <c r="M29" s="585"/>
      <c r="N29" s="585"/>
    </row>
    <row r="30" spans="1:14" ht="12.75" customHeight="1" x14ac:dyDescent="0.25">
      <c r="A30" s="320" t="s">
        <v>293</v>
      </c>
      <c r="B30" s="592" t="s">
        <v>294</v>
      </c>
      <c r="C30" s="593">
        <f>IF(I29,CEILING(C26*(1+1/C26)*K29*C25^2/F24^2,1),"")</f>
        <v>85</v>
      </c>
      <c r="D30" s="320"/>
      <c r="E30" s="320"/>
      <c r="F30" s="320"/>
      <c r="G30" s="320"/>
      <c r="H30" s="320"/>
      <c r="I30" s="320"/>
      <c r="J30" s="34"/>
      <c r="K30" s="32"/>
      <c r="L30" s="19"/>
      <c r="M30" s="585"/>
      <c r="N30" s="585"/>
    </row>
    <row r="31" spans="1:14" ht="12.75" customHeight="1" x14ac:dyDescent="0.25">
      <c r="A31" s="320" t="s">
        <v>36</v>
      </c>
      <c r="B31" s="592" t="s">
        <v>295</v>
      </c>
      <c r="C31" s="629">
        <f>IF(I29,C29+C30,"")</f>
        <v>509</v>
      </c>
      <c r="D31" s="320"/>
      <c r="E31" s="320"/>
      <c r="F31" s="320"/>
      <c r="G31" s="320"/>
      <c r="H31" s="320"/>
      <c r="I31" s="320"/>
      <c r="J31" s="34"/>
      <c r="K31" s="32"/>
      <c r="L31" s="19"/>
      <c r="M31" s="585"/>
      <c r="N31" s="585"/>
    </row>
    <row r="32" spans="1:14" ht="12.75" customHeight="1" x14ac:dyDescent="0.2">
      <c r="A32" s="625"/>
      <c r="B32" s="320"/>
      <c r="C32" s="320"/>
      <c r="D32" s="320"/>
      <c r="E32" s="320"/>
      <c r="F32" s="320"/>
      <c r="G32" s="320"/>
      <c r="H32" s="320"/>
      <c r="I32" s="320"/>
      <c r="J32" s="34"/>
      <c r="K32" s="32"/>
      <c r="L32" s="19"/>
      <c r="M32" s="585"/>
      <c r="N32" s="585"/>
    </row>
    <row r="33" spans="1:14" ht="12.75" customHeight="1" x14ac:dyDescent="0.2">
      <c r="A33" s="625"/>
      <c r="B33" s="320"/>
      <c r="C33" s="320"/>
      <c r="D33" s="320"/>
      <c r="E33" s="320"/>
      <c r="F33" s="320"/>
      <c r="G33" s="320"/>
      <c r="H33" s="320"/>
      <c r="I33" s="320"/>
      <c r="J33" s="34"/>
      <c r="K33" s="32"/>
      <c r="L33" s="19"/>
      <c r="M33" s="585"/>
      <c r="N33" s="585"/>
    </row>
    <row r="34" spans="1:14" ht="12.75" customHeight="1" x14ac:dyDescent="0.2">
      <c r="A34" s="625"/>
      <c r="B34" s="320"/>
      <c r="C34" s="320"/>
      <c r="D34" s="320"/>
      <c r="E34" s="320"/>
      <c r="F34" s="320"/>
      <c r="G34" s="320"/>
      <c r="H34" s="320"/>
      <c r="I34" s="320"/>
      <c r="J34" s="34"/>
      <c r="K34" s="32"/>
      <c r="L34" s="19"/>
      <c r="M34" s="585"/>
      <c r="N34" s="585"/>
    </row>
    <row r="35" spans="1:14" ht="12.75" customHeight="1" x14ac:dyDescent="0.2">
      <c r="A35" s="625"/>
      <c r="B35" s="320"/>
      <c r="C35" s="320"/>
      <c r="D35" s="320"/>
      <c r="E35" s="320"/>
      <c r="F35" s="320"/>
      <c r="G35" s="320"/>
      <c r="H35" s="320"/>
      <c r="I35" s="320"/>
      <c r="J35" s="34"/>
      <c r="K35" s="32"/>
      <c r="L35" s="19"/>
      <c r="M35" s="585"/>
      <c r="N35" s="585"/>
    </row>
    <row r="36" spans="1:14" ht="12.75" customHeight="1" x14ac:dyDescent="0.2">
      <c r="A36" s="625"/>
      <c r="B36" s="320"/>
      <c r="C36" s="320"/>
      <c r="D36" s="320"/>
      <c r="E36" s="320"/>
      <c r="F36" s="320"/>
      <c r="G36" s="320"/>
      <c r="H36" s="320"/>
      <c r="I36" s="320"/>
      <c r="J36" s="34"/>
      <c r="K36" s="32"/>
      <c r="L36" s="19"/>
      <c r="M36" s="585"/>
      <c r="N36" s="585"/>
    </row>
    <row r="37" spans="1:14" ht="12.75" customHeight="1" x14ac:dyDescent="0.2">
      <c r="A37" s="625"/>
      <c r="B37" s="320"/>
      <c r="C37" s="320"/>
      <c r="D37" s="320"/>
      <c r="E37" s="320"/>
      <c r="F37" s="320"/>
      <c r="G37" s="320"/>
      <c r="H37" s="320"/>
      <c r="I37" s="320"/>
      <c r="J37" s="34"/>
      <c r="K37" s="32"/>
      <c r="L37" s="19"/>
      <c r="M37" s="585"/>
      <c r="N37" s="585"/>
    </row>
    <row r="38" spans="1:14" ht="12.75" customHeight="1" x14ac:dyDescent="0.2">
      <c r="A38" s="625"/>
      <c r="B38" s="320"/>
      <c r="C38" s="320"/>
      <c r="D38" s="320"/>
      <c r="E38" s="320"/>
      <c r="F38" s="320"/>
      <c r="G38" s="320"/>
      <c r="H38" s="320"/>
      <c r="I38" s="320"/>
      <c r="J38" s="34"/>
      <c r="K38" s="32"/>
      <c r="L38" s="19"/>
      <c r="M38" s="585"/>
      <c r="N38" s="585"/>
    </row>
    <row r="39" spans="1:14" ht="12.75" customHeight="1" x14ac:dyDescent="0.2">
      <c r="A39" s="621"/>
      <c r="B39" s="622"/>
      <c r="C39" s="622"/>
      <c r="D39" s="622"/>
      <c r="E39" s="622"/>
      <c r="F39" s="622"/>
      <c r="G39" s="622"/>
      <c r="H39" s="622"/>
      <c r="I39" s="622"/>
      <c r="J39" s="513"/>
      <c r="K39" s="620"/>
      <c r="L39" s="585"/>
      <c r="M39" s="585"/>
      <c r="N39" s="585"/>
    </row>
    <row r="40" spans="1:14" ht="12.75" customHeight="1" x14ac:dyDescent="0.2">
      <c r="A40" s="621"/>
      <c r="B40" s="622"/>
      <c r="C40" s="622"/>
      <c r="D40" s="622"/>
      <c r="E40" s="622"/>
      <c r="F40" s="622"/>
      <c r="G40" s="622"/>
      <c r="H40" s="622"/>
      <c r="I40" s="622"/>
      <c r="J40" s="513"/>
      <c r="K40" s="620"/>
      <c r="L40" s="585"/>
      <c r="M40" s="585"/>
      <c r="N40" s="585"/>
    </row>
    <row r="41" spans="1:14" ht="12.75" customHeight="1" x14ac:dyDescent="0.2">
      <c r="A41" s="193"/>
      <c r="B41" s="735"/>
      <c r="C41" s="735"/>
      <c r="D41" s="735"/>
      <c r="E41" s="735"/>
      <c r="F41" s="735"/>
      <c r="G41" s="735"/>
      <c r="H41" s="735"/>
      <c r="I41" s="735"/>
      <c r="J41" s="620"/>
      <c r="K41" s="620"/>
      <c r="L41" s="585"/>
      <c r="M41" s="585"/>
      <c r="N41" s="585"/>
    </row>
    <row r="42" spans="1:14" x14ac:dyDescent="0.2">
      <c r="B42" s="585"/>
      <c r="C42" s="585"/>
      <c r="D42" s="585"/>
      <c r="E42" s="585"/>
      <c r="F42" s="585"/>
      <c r="G42" s="585"/>
      <c r="H42" s="585"/>
      <c r="I42" s="585"/>
      <c r="J42" s="620"/>
      <c r="K42" s="620"/>
      <c r="L42" s="585"/>
      <c r="M42" s="585"/>
      <c r="N42" s="585"/>
    </row>
    <row r="43" spans="1:14" x14ac:dyDescent="0.2">
      <c r="B43" s="585"/>
      <c r="C43" s="585"/>
      <c r="D43" s="585"/>
      <c r="E43" s="585"/>
      <c r="F43" s="585"/>
      <c r="G43" s="585"/>
      <c r="H43" s="585"/>
      <c r="I43" s="585"/>
      <c r="J43" s="620"/>
      <c r="K43" s="620"/>
      <c r="L43" s="585"/>
      <c r="M43" s="585"/>
      <c r="N43" s="585"/>
    </row>
    <row r="44" spans="1:14" x14ac:dyDescent="0.2">
      <c r="B44" s="585"/>
      <c r="C44" s="585"/>
      <c r="D44" s="585"/>
      <c r="E44" s="585"/>
      <c r="F44" s="585"/>
      <c r="G44" s="585"/>
      <c r="H44" s="585"/>
      <c r="I44" s="585"/>
      <c r="J44" s="620"/>
      <c r="K44" s="620"/>
      <c r="L44" s="585"/>
      <c r="M44" s="585"/>
      <c r="N44" s="585"/>
    </row>
    <row r="45" spans="1:14" x14ac:dyDescent="0.2">
      <c r="B45" s="585"/>
      <c r="C45" s="585"/>
      <c r="D45" s="585"/>
      <c r="E45" s="585"/>
      <c r="F45" s="585"/>
      <c r="G45" s="585"/>
      <c r="H45" s="585"/>
      <c r="I45" s="585"/>
      <c r="J45" s="620"/>
      <c r="K45" s="620"/>
      <c r="L45" s="585"/>
      <c r="M45" s="585"/>
      <c r="N45" s="585"/>
    </row>
    <row r="46" spans="1:14" x14ac:dyDescent="0.2">
      <c r="B46" s="585"/>
      <c r="C46" s="585"/>
      <c r="D46" s="585"/>
      <c r="E46" s="585"/>
      <c r="F46" s="585"/>
      <c r="G46" s="585"/>
      <c r="H46" s="585"/>
      <c r="I46" s="585"/>
      <c r="J46" s="620"/>
      <c r="K46" s="620"/>
      <c r="L46" s="585"/>
      <c r="M46" s="585"/>
      <c r="N46" s="585"/>
    </row>
    <row r="47" spans="1:14" x14ac:dyDescent="0.2">
      <c r="B47" s="585"/>
      <c r="C47" s="585"/>
      <c r="D47" s="585"/>
      <c r="E47" s="585"/>
      <c r="F47" s="585"/>
      <c r="G47" s="585"/>
      <c r="H47" s="585"/>
      <c r="I47" s="585"/>
      <c r="J47" s="620"/>
      <c r="K47" s="620"/>
      <c r="L47" s="585"/>
      <c r="M47" s="585"/>
      <c r="N47" s="585"/>
    </row>
    <row r="48" spans="1:14" x14ac:dyDescent="0.2">
      <c r="B48" s="585"/>
      <c r="C48" s="585"/>
      <c r="D48" s="585"/>
      <c r="E48" s="585"/>
      <c r="F48" s="585"/>
      <c r="G48" s="585"/>
      <c r="H48" s="585"/>
      <c r="I48" s="585"/>
      <c r="J48" s="620"/>
      <c r="K48" s="620"/>
      <c r="L48" s="585"/>
      <c r="M48" s="585"/>
      <c r="N48" s="585"/>
    </row>
    <row r="49" spans="2:14" x14ac:dyDescent="0.2">
      <c r="B49" s="585"/>
      <c r="C49" s="585"/>
      <c r="D49" s="585"/>
      <c r="E49" s="585"/>
      <c r="F49" s="585"/>
      <c r="G49" s="585"/>
      <c r="H49" s="585"/>
      <c r="I49" s="585"/>
      <c r="J49" s="620"/>
      <c r="K49" s="620"/>
      <c r="L49" s="585"/>
      <c r="M49" s="585"/>
      <c r="N49" s="585"/>
    </row>
    <row r="50" spans="2:14" x14ac:dyDescent="0.2">
      <c r="B50" s="585"/>
      <c r="C50" s="585"/>
      <c r="D50" s="585"/>
      <c r="E50" s="585"/>
      <c r="F50" s="585"/>
      <c r="G50" s="585"/>
      <c r="H50" s="585"/>
      <c r="I50" s="585"/>
      <c r="J50" s="620"/>
      <c r="K50" s="620"/>
      <c r="L50" s="585"/>
      <c r="M50" s="585"/>
      <c r="N50" s="585"/>
    </row>
    <row r="51" spans="2:14" x14ac:dyDescent="0.2">
      <c r="B51" s="585"/>
      <c r="C51" s="585"/>
      <c r="D51" s="585"/>
      <c r="E51" s="585"/>
      <c r="F51" s="585"/>
      <c r="G51" s="585"/>
      <c r="H51" s="585"/>
      <c r="I51" s="585"/>
      <c r="J51" s="620"/>
      <c r="K51" s="620"/>
      <c r="L51" s="585"/>
      <c r="M51" s="585"/>
      <c r="N51" s="585"/>
    </row>
    <row r="52" spans="2:14" x14ac:dyDescent="0.2">
      <c r="B52" s="585"/>
      <c r="C52" s="585"/>
      <c r="D52" s="585"/>
      <c r="E52" s="585"/>
      <c r="F52" s="585"/>
      <c r="G52" s="585"/>
      <c r="H52" s="585"/>
      <c r="I52" s="585"/>
      <c r="J52" s="620"/>
      <c r="K52" s="620"/>
      <c r="L52" s="585"/>
      <c r="M52" s="585"/>
      <c r="N52" s="585"/>
    </row>
    <row r="53" spans="2:14" x14ac:dyDescent="0.2">
      <c r="B53" s="585"/>
      <c r="C53" s="585"/>
      <c r="D53" s="585"/>
      <c r="E53" s="585"/>
      <c r="F53" s="585"/>
      <c r="G53" s="585"/>
      <c r="H53" s="585"/>
      <c r="I53" s="585"/>
      <c r="J53" s="620"/>
      <c r="K53" s="620"/>
      <c r="L53" s="585"/>
      <c r="M53" s="585"/>
      <c r="N53" s="585"/>
    </row>
    <row r="54" spans="2:14" x14ac:dyDescent="0.2">
      <c r="B54" s="585"/>
      <c r="C54" s="585"/>
      <c r="D54" s="585"/>
      <c r="E54" s="585"/>
      <c r="F54" s="585"/>
      <c r="G54" s="585"/>
      <c r="H54" s="585"/>
      <c r="I54" s="585"/>
      <c r="J54" s="620"/>
      <c r="K54" s="620"/>
      <c r="L54" s="585"/>
      <c r="M54" s="585"/>
      <c r="N54" s="585"/>
    </row>
    <row r="55" spans="2:14" x14ac:dyDescent="0.2">
      <c r="B55" s="585"/>
      <c r="C55" s="585"/>
      <c r="D55" s="585"/>
      <c r="E55" s="585"/>
      <c r="F55" s="585"/>
      <c r="G55" s="585"/>
      <c r="H55" s="585"/>
      <c r="I55" s="585"/>
      <c r="J55" s="620"/>
      <c r="K55" s="620"/>
      <c r="L55" s="585"/>
      <c r="M55" s="585"/>
      <c r="N55" s="585"/>
    </row>
    <row r="56" spans="2:14" x14ac:dyDescent="0.2">
      <c r="B56" s="585"/>
      <c r="C56" s="585"/>
      <c r="D56" s="585"/>
      <c r="E56" s="585"/>
      <c r="F56" s="585"/>
      <c r="G56" s="585"/>
      <c r="H56" s="585"/>
      <c r="I56" s="585"/>
      <c r="J56" s="620"/>
      <c r="K56" s="620"/>
      <c r="L56" s="585"/>
      <c r="M56" s="585"/>
      <c r="N56" s="585"/>
    </row>
    <row r="57" spans="2:14" x14ac:dyDescent="0.2">
      <c r="B57" s="585"/>
      <c r="C57" s="585"/>
      <c r="D57" s="585"/>
      <c r="E57" s="585"/>
      <c r="F57" s="585"/>
      <c r="G57" s="585"/>
      <c r="H57" s="585"/>
      <c r="I57" s="585"/>
      <c r="J57" s="620"/>
      <c r="K57" s="620"/>
      <c r="L57" s="585"/>
      <c r="M57" s="585"/>
      <c r="N57" s="585"/>
    </row>
    <row r="58" spans="2:14" x14ac:dyDescent="0.2">
      <c r="B58" s="585"/>
      <c r="C58" s="585"/>
      <c r="D58" s="585"/>
      <c r="E58" s="585"/>
      <c r="F58" s="585"/>
      <c r="G58" s="585"/>
      <c r="H58" s="585"/>
      <c r="I58" s="585"/>
      <c r="J58" s="620"/>
      <c r="K58" s="620"/>
      <c r="L58" s="585"/>
      <c r="M58" s="585"/>
      <c r="N58" s="585"/>
    </row>
    <row r="59" spans="2:14" x14ac:dyDescent="0.2">
      <c r="B59" s="585"/>
      <c r="C59" s="585"/>
      <c r="D59" s="585"/>
      <c r="E59" s="585"/>
      <c r="F59" s="585"/>
      <c r="G59" s="585"/>
      <c r="H59" s="585"/>
      <c r="I59" s="585"/>
      <c r="J59" s="620"/>
      <c r="K59" s="620"/>
      <c r="L59" s="585"/>
      <c r="M59" s="585"/>
      <c r="N59" s="585"/>
    </row>
    <row r="60" spans="2:14" x14ac:dyDescent="0.2">
      <c r="B60" s="585"/>
      <c r="C60" s="585"/>
      <c r="D60" s="585"/>
      <c r="E60" s="585"/>
      <c r="F60" s="585"/>
      <c r="G60" s="585"/>
      <c r="H60" s="585"/>
      <c r="I60" s="585"/>
      <c r="J60" s="620"/>
      <c r="K60" s="620"/>
      <c r="L60" s="585"/>
      <c r="M60" s="585"/>
      <c r="N60" s="585"/>
    </row>
    <row r="61" spans="2:14" x14ac:dyDescent="0.2">
      <c r="B61" s="585"/>
      <c r="C61" s="585"/>
      <c r="D61" s="585"/>
      <c r="E61" s="585"/>
      <c r="F61" s="585"/>
      <c r="G61" s="585"/>
      <c r="H61" s="585"/>
      <c r="I61" s="585"/>
      <c r="J61" s="620"/>
      <c r="K61" s="620"/>
      <c r="L61" s="585"/>
      <c r="M61" s="585"/>
      <c r="N61" s="585"/>
    </row>
    <row r="62" spans="2:14" x14ac:dyDescent="0.2">
      <c r="B62" s="585"/>
      <c r="C62" s="585"/>
      <c r="D62" s="585"/>
      <c r="E62" s="585"/>
      <c r="F62" s="585"/>
      <c r="G62" s="585"/>
      <c r="H62" s="585"/>
      <c r="I62" s="585"/>
      <c r="J62" s="620"/>
      <c r="K62" s="620"/>
      <c r="L62" s="585"/>
      <c r="M62" s="585"/>
      <c r="N62" s="585"/>
    </row>
    <row r="63" spans="2:14" x14ac:dyDescent="0.2">
      <c r="B63" s="585"/>
      <c r="C63" s="585"/>
      <c r="D63" s="585"/>
      <c r="E63" s="585"/>
      <c r="F63" s="585"/>
      <c r="G63" s="585"/>
      <c r="H63" s="585"/>
      <c r="I63" s="585"/>
      <c r="J63" s="620"/>
      <c r="K63" s="620"/>
      <c r="L63" s="585"/>
      <c r="M63" s="585"/>
      <c r="N63" s="585"/>
    </row>
    <row r="64" spans="2:14" x14ac:dyDescent="0.2">
      <c r="B64" s="585"/>
      <c r="C64" s="585"/>
      <c r="D64" s="585"/>
      <c r="E64" s="585"/>
      <c r="F64" s="585"/>
      <c r="G64" s="585"/>
      <c r="H64" s="585"/>
      <c r="I64" s="585"/>
      <c r="J64" s="620"/>
      <c r="K64" s="620"/>
      <c r="L64" s="585"/>
      <c r="M64" s="585"/>
      <c r="N64" s="585"/>
    </row>
    <row r="65" spans="2:14" x14ac:dyDescent="0.2">
      <c r="B65" s="585"/>
      <c r="C65" s="585"/>
      <c r="D65" s="585"/>
      <c r="E65" s="585"/>
      <c r="F65" s="585"/>
      <c r="G65" s="585"/>
      <c r="H65" s="585"/>
      <c r="I65" s="585"/>
      <c r="J65" s="620"/>
      <c r="K65" s="620"/>
      <c r="L65" s="585"/>
      <c r="M65" s="585"/>
      <c r="N65" s="585"/>
    </row>
    <row r="66" spans="2:14" x14ac:dyDescent="0.2">
      <c r="B66" s="585"/>
      <c r="C66" s="585"/>
      <c r="D66" s="585"/>
      <c r="E66" s="585"/>
      <c r="F66" s="585"/>
      <c r="G66" s="585"/>
      <c r="H66" s="585"/>
      <c r="I66" s="585"/>
      <c r="J66" s="620"/>
      <c r="K66" s="620"/>
      <c r="L66" s="585"/>
      <c r="M66" s="585"/>
      <c r="N66" s="585"/>
    </row>
    <row r="67" spans="2:14" x14ac:dyDescent="0.2">
      <c r="B67" s="585"/>
      <c r="C67" s="585"/>
      <c r="D67" s="585"/>
      <c r="E67" s="585"/>
      <c r="F67" s="585"/>
      <c r="G67" s="585"/>
      <c r="H67" s="585"/>
      <c r="I67" s="585"/>
      <c r="J67" s="620"/>
      <c r="K67" s="620"/>
      <c r="L67" s="585"/>
      <c r="M67" s="585"/>
      <c r="N67" s="585"/>
    </row>
    <row r="68" spans="2:14" x14ac:dyDescent="0.2">
      <c r="B68" s="585"/>
      <c r="C68" s="585"/>
      <c r="D68" s="585"/>
      <c r="E68" s="585"/>
      <c r="F68" s="585"/>
      <c r="G68" s="585"/>
      <c r="H68" s="585"/>
      <c r="I68" s="585"/>
      <c r="J68" s="620"/>
      <c r="K68" s="620"/>
      <c r="L68" s="585"/>
      <c r="M68" s="585"/>
      <c r="N68" s="585"/>
    </row>
    <row r="69" spans="2:14" x14ac:dyDescent="0.2">
      <c r="B69" s="585"/>
      <c r="C69" s="585"/>
      <c r="D69" s="585"/>
      <c r="E69" s="585"/>
      <c r="F69" s="585"/>
      <c r="G69" s="585"/>
      <c r="H69" s="585"/>
      <c r="I69" s="585"/>
      <c r="J69" s="620"/>
      <c r="K69" s="620"/>
      <c r="L69" s="585"/>
      <c r="M69" s="585"/>
      <c r="N69" s="585"/>
    </row>
    <row r="70" spans="2:14" x14ac:dyDescent="0.2">
      <c r="B70" s="585"/>
      <c r="C70" s="585"/>
      <c r="D70" s="585"/>
      <c r="E70" s="585"/>
      <c r="F70" s="585"/>
      <c r="G70" s="585"/>
      <c r="H70" s="585"/>
      <c r="I70" s="585"/>
      <c r="J70" s="620"/>
      <c r="K70" s="620"/>
      <c r="L70" s="585"/>
      <c r="M70" s="585"/>
      <c r="N70" s="585"/>
    </row>
    <row r="71" spans="2:14" x14ac:dyDescent="0.2">
      <c r="B71" s="585"/>
      <c r="C71" s="585"/>
      <c r="D71" s="585"/>
      <c r="E71" s="585"/>
      <c r="F71" s="585"/>
      <c r="G71" s="585"/>
      <c r="H71" s="585"/>
      <c r="I71" s="585"/>
      <c r="J71" s="620"/>
      <c r="K71" s="620"/>
      <c r="L71" s="585"/>
      <c r="M71" s="585"/>
      <c r="N71" s="585"/>
    </row>
    <row r="72" spans="2:14" x14ac:dyDescent="0.2">
      <c r="B72" s="585"/>
      <c r="C72" s="585"/>
      <c r="D72" s="585"/>
      <c r="E72" s="585"/>
      <c r="F72" s="585"/>
      <c r="G72" s="585"/>
      <c r="H72" s="585"/>
      <c r="I72" s="585"/>
      <c r="J72" s="620"/>
      <c r="K72" s="620"/>
      <c r="L72" s="585"/>
      <c r="M72" s="585"/>
      <c r="N72" s="585"/>
    </row>
    <row r="73" spans="2:14" x14ac:dyDescent="0.2">
      <c r="B73" s="585"/>
      <c r="C73" s="585"/>
      <c r="D73" s="585"/>
      <c r="E73" s="585"/>
      <c r="F73" s="585"/>
      <c r="G73" s="585"/>
      <c r="H73" s="585"/>
      <c r="I73" s="585"/>
      <c r="J73" s="620"/>
      <c r="K73" s="620"/>
      <c r="L73" s="585"/>
      <c r="M73" s="585"/>
      <c r="N73" s="585"/>
    </row>
    <row r="74" spans="2:14" x14ac:dyDescent="0.2">
      <c r="B74" s="585"/>
      <c r="C74" s="585"/>
      <c r="D74" s="585"/>
      <c r="E74" s="585"/>
      <c r="F74" s="585"/>
      <c r="G74" s="585"/>
      <c r="H74" s="585"/>
      <c r="I74" s="585"/>
      <c r="J74" s="620"/>
      <c r="K74" s="620"/>
      <c r="L74" s="585"/>
      <c r="M74" s="585"/>
      <c r="N74" s="585"/>
    </row>
    <row r="75" spans="2:14" x14ac:dyDescent="0.2">
      <c r="B75" s="585"/>
      <c r="C75" s="585"/>
      <c r="D75" s="585"/>
      <c r="E75" s="585"/>
      <c r="F75" s="585"/>
      <c r="G75" s="585"/>
      <c r="H75" s="585"/>
      <c r="I75" s="585"/>
      <c r="J75" s="620"/>
      <c r="K75" s="620"/>
      <c r="L75" s="585"/>
      <c r="M75" s="585"/>
      <c r="N75" s="585"/>
    </row>
    <row r="76" spans="2:14" x14ac:dyDescent="0.2">
      <c r="B76" s="585"/>
      <c r="C76" s="585"/>
      <c r="D76" s="585"/>
      <c r="E76" s="585"/>
      <c r="F76" s="585"/>
      <c r="G76" s="585"/>
      <c r="H76" s="585"/>
      <c r="I76" s="585"/>
      <c r="J76" s="620"/>
      <c r="K76" s="620"/>
      <c r="L76" s="585"/>
      <c r="M76" s="585"/>
      <c r="N76" s="585"/>
    </row>
    <row r="77" spans="2:14" x14ac:dyDescent="0.2">
      <c r="B77" s="585"/>
      <c r="C77" s="585"/>
      <c r="D77" s="585"/>
      <c r="E77" s="585"/>
      <c r="F77" s="585"/>
      <c r="G77" s="585"/>
      <c r="H77" s="585"/>
      <c r="I77" s="585"/>
      <c r="J77" s="620"/>
      <c r="K77" s="620"/>
      <c r="L77" s="585"/>
      <c r="M77" s="585"/>
      <c r="N77" s="585"/>
    </row>
    <row r="78" spans="2:14" x14ac:dyDescent="0.2">
      <c r="B78" s="585"/>
      <c r="C78" s="585"/>
      <c r="D78" s="585"/>
      <c r="E78" s="585"/>
      <c r="F78" s="585"/>
      <c r="G78" s="585"/>
      <c r="H78" s="585"/>
      <c r="I78" s="585"/>
      <c r="J78" s="620"/>
      <c r="K78" s="620"/>
      <c r="L78" s="585"/>
      <c r="M78" s="585"/>
      <c r="N78" s="585"/>
    </row>
    <row r="79" spans="2:14" x14ac:dyDescent="0.2">
      <c r="B79" s="585"/>
      <c r="C79" s="585"/>
      <c r="D79" s="585"/>
      <c r="E79" s="585"/>
      <c r="F79" s="585"/>
      <c r="G79" s="585"/>
      <c r="H79" s="585"/>
      <c r="I79" s="585"/>
      <c r="J79" s="620"/>
      <c r="K79" s="620"/>
      <c r="L79" s="585"/>
      <c r="M79" s="585"/>
      <c r="N79" s="585"/>
    </row>
    <row r="80" spans="2:14" x14ac:dyDescent="0.2">
      <c r="B80" s="585"/>
      <c r="C80" s="585"/>
      <c r="D80" s="585"/>
      <c r="E80" s="585"/>
      <c r="F80" s="585"/>
      <c r="G80" s="585"/>
      <c r="H80" s="585"/>
      <c r="I80" s="585"/>
      <c r="J80" s="620"/>
      <c r="K80" s="620"/>
      <c r="L80" s="585"/>
      <c r="M80" s="585"/>
      <c r="N80" s="585"/>
    </row>
    <row r="81" spans="2:14" x14ac:dyDescent="0.2">
      <c r="B81" s="585"/>
      <c r="C81" s="585"/>
      <c r="D81" s="585"/>
      <c r="E81" s="585"/>
      <c r="F81" s="585"/>
      <c r="G81" s="585"/>
      <c r="H81" s="585"/>
      <c r="I81" s="585"/>
      <c r="J81" s="620"/>
      <c r="K81" s="620"/>
      <c r="L81" s="585"/>
      <c r="M81" s="585"/>
      <c r="N81" s="585"/>
    </row>
    <row r="82" spans="2:14" x14ac:dyDescent="0.2">
      <c r="B82" s="585"/>
      <c r="C82" s="585"/>
      <c r="D82" s="585"/>
      <c r="E82" s="585"/>
      <c r="F82" s="585"/>
      <c r="G82" s="585"/>
      <c r="H82" s="585"/>
      <c r="I82" s="585"/>
      <c r="J82" s="620"/>
      <c r="K82" s="620"/>
      <c r="L82" s="585"/>
      <c r="M82" s="585"/>
      <c r="N82" s="585"/>
    </row>
    <row r="83" spans="2:14" x14ac:dyDescent="0.2">
      <c r="B83" s="585"/>
      <c r="C83" s="585"/>
      <c r="D83" s="585"/>
      <c r="E83" s="585"/>
      <c r="F83" s="585"/>
      <c r="G83" s="585"/>
      <c r="H83" s="585"/>
      <c r="I83" s="585"/>
      <c r="J83" s="620"/>
      <c r="K83" s="620"/>
      <c r="L83" s="585"/>
      <c r="M83" s="585"/>
      <c r="N83" s="585"/>
    </row>
    <row r="84" spans="2:14" x14ac:dyDescent="0.2">
      <c r="B84" s="585"/>
      <c r="C84" s="585"/>
      <c r="D84" s="585"/>
      <c r="E84" s="585"/>
      <c r="F84" s="585"/>
      <c r="G84" s="585"/>
      <c r="H84" s="585"/>
      <c r="I84" s="585"/>
      <c r="J84" s="620"/>
      <c r="K84" s="620"/>
      <c r="L84" s="585"/>
      <c r="M84" s="585"/>
      <c r="N84" s="585"/>
    </row>
    <row r="85" spans="2:14" x14ac:dyDescent="0.2">
      <c r="B85" s="585"/>
      <c r="C85" s="585"/>
      <c r="D85" s="585"/>
      <c r="E85" s="585"/>
      <c r="F85" s="585"/>
      <c r="G85" s="585"/>
      <c r="H85" s="585"/>
      <c r="I85" s="585"/>
      <c r="J85" s="585"/>
      <c r="K85" s="585"/>
      <c r="L85" s="585"/>
      <c r="M85" s="585"/>
      <c r="N85" s="585"/>
    </row>
    <row r="86" spans="2:14" x14ac:dyDescent="0.2">
      <c r="B86" s="585"/>
      <c r="C86" s="585"/>
      <c r="D86" s="585"/>
      <c r="E86" s="585"/>
      <c r="F86" s="585"/>
      <c r="G86" s="585"/>
      <c r="H86" s="585"/>
      <c r="I86" s="585"/>
      <c r="J86" s="585"/>
      <c r="K86" s="585"/>
      <c r="L86" s="585"/>
      <c r="M86" s="585"/>
      <c r="N86" s="585"/>
    </row>
    <row r="87" spans="2:14" x14ac:dyDescent="0.2">
      <c r="B87" s="585"/>
      <c r="C87" s="585"/>
      <c r="D87" s="585"/>
      <c r="E87" s="585"/>
      <c r="F87" s="585"/>
      <c r="G87" s="585"/>
      <c r="H87" s="585"/>
      <c r="I87" s="585"/>
      <c r="J87" s="585"/>
      <c r="K87" s="585"/>
      <c r="L87" s="585"/>
      <c r="M87" s="585"/>
      <c r="N87" s="585"/>
    </row>
    <row r="88" spans="2:14" x14ac:dyDescent="0.2">
      <c r="B88" s="585"/>
      <c r="C88" s="585"/>
      <c r="D88" s="585"/>
      <c r="E88" s="585"/>
      <c r="F88" s="585"/>
      <c r="G88" s="585"/>
      <c r="H88" s="585"/>
      <c r="I88" s="585"/>
      <c r="J88" s="585"/>
      <c r="K88" s="585"/>
      <c r="L88" s="585"/>
      <c r="M88" s="585"/>
      <c r="N88" s="585"/>
    </row>
    <row r="89" spans="2:14" x14ac:dyDescent="0.2">
      <c r="B89" s="585"/>
      <c r="C89" s="585"/>
      <c r="D89" s="585"/>
      <c r="E89" s="585"/>
      <c r="F89" s="585"/>
      <c r="G89" s="585"/>
      <c r="H89" s="585"/>
      <c r="I89" s="585"/>
      <c r="J89" s="585"/>
      <c r="K89" s="585"/>
      <c r="L89" s="585"/>
      <c r="M89" s="585"/>
      <c r="N89" s="585"/>
    </row>
    <row r="90" spans="2:14" x14ac:dyDescent="0.2">
      <c r="B90" s="585"/>
      <c r="C90" s="585"/>
      <c r="D90" s="585"/>
      <c r="E90" s="585"/>
      <c r="F90" s="585"/>
      <c r="G90" s="585"/>
      <c r="H90" s="585"/>
      <c r="I90" s="585"/>
      <c r="J90" s="585"/>
      <c r="K90" s="585"/>
      <c r="L90" s="585"/>
      <c r="M90" s="585"/>
      <c r="N90" s="585"/>
    </row>
    <row r="91" spans="2:14" x14ac:dyDescent="0.2">
      <c r="B91" s="585"/>
      <c r="C91" s="585"/>
      <c r="D91" s="585"/>
      <c r="E91" s="585"/>
      <c r="F91" s="585"/>
      <c r="G91" s="585"/>
      <c r="H91" s="585"/>
      <c r="I91" s="585"/>
      <c r="J91" s="585"/>
      <c r="K91" s="585"/>
      <c r="L91" s="585"/>
      <c r="M91" s="585"/>
      <c r="N91" s="585"/>
    </row>
    <row r="92" spans="2:14" x14ac:dyDescent="0.2">
      <c r="B92" s="585"/>
      <c r="C92" s="585"/>
      <c r="D92" s="585"/>
      <c r="E92" s="585"/>
      <c r="F92" s="585"/>
      <c r="G92" s="585"/>
      <c r="H92" s="585"/>
      <c r="I92" s="585"/>
      <c r="J92" s="585"/>
      <c r="K92" s="585"/>
      <c r="L92" s="585"/>
      <c r="M92" s="585"/>
      <c r="N92" s="585"/>
    </row>
    <row r="93" spans="2:14" x14ac:dyDescent="0.2">
      <c r="B93" s="585"/>
      <c r="C93" s="585"/>
      <c r="D93" s="585"/>
      <c r="E93" s="585"/>
      <c r="F93" s="585"/>
      <c r="G93" s="585"/>
      <c r="H93" s="585"/>
      <c r="I93" s="585"/>
      <c r="J93" s="585"/>
      <c r="K93" s="585"/>
      <c r="L93" s="585"/>
      <c r="M93" s="585"/>
      <c r="N93" s="585"/>
    </row>
    <row r="94" spans="2:14" x14ac:dyDescent="0.2">
      <c r="B94" s="585"/>
      <c r="C94" s="585"/>
      <c r="D94" s="585"/>
      <c r="E94" s="585"/>
      <c r="F94" s="585"/>
      <c r="G94" s="585"/>
      <c r="H94" s="585"/>
      <c r="I94" s="585"/>
      <c r="J94" s="585"/>
      <c r="K94" s="585"/>
      <c r="L94" s="585"/>
      <c r="M94" s="585"/>
      <c r="N94" s="585"/>
    </row>
  </sheetData>
  <sheetProtection sheet="1" formatCells="0" formatColumns="0" formatRows="0"/>
  <mergeCells count="4">
    <mergeCell ref="B41:I41"/>
    <mergeCell ref="E10:G10"/>
    <mergeCell ref="J4:K4"/>
    <mergeCell ref="E22:G22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K53" sqref="K53"/>
    </sheetView>
  </sheetViews>
  <sheetFormatPr defaultRowHeight="12.75" x14ac:dyDescent="0.2"/>
  <cols>
    <col min="1" max="2" width="8.7109375" customWidth="1"/>
    <col min="3" max="3" width="9.7109375" customWidth="1"/>
    <col min="4" max="4" width="8.7109375" customWidth="1"/>
    <col min="5" max="5" width="10.42578125" bestFit="1" customWidth="1"/>
    <col min="6" max="6" width="9.42578125" bestFit="1" customWidth="1"/>
    <col min="7" max="7" width="9.85546875" bestFit="1" customWidth="1"/>
    <col min="8" max="9" width="8.7109375" customWidth="1"/>
    <col min="10" max="10" width="9.85546875" bestFit="1" customWidth="1"/>
    <col min="12" max="12" width="11.42578125" bestFit="1" customWidth="1"/>
    <col min="13" max="13" width="12" customWidth="1"/>
    <col min="14" max="14" width="11.140625" customWidth="1"/>
    <col min="15" max="15" width="9.85546875" customWidth="1"/>
    <col min="16" max="16" width="10" customWidth="1"/>
    <col min="20" max="20" width="12.85546875" hidden="1" customWidth="1"/>
    <col min="21" max="21" width="9.140625" hidden="1" customWidth="1"/>
    <col min="22" max="22" width="12.7109375" hidden="1" customWidth="1"/>
    <col min="23" max="23" width="12" hidden="1" customWidth="1"/>
  </cols>
  <sheetData>
    <row r="1" spans="1:23" ht="12.75" customHeight="1" x14ac:dyDescent="0.2">
      <c r="A1" s="292" t="s">
        <v>234</v>
      </c>
      <c r="G1" s="19"/>
      <c r="H1" s="19"/>
      <c r="I1" s="326"/>
    </row>
    <row r="2" spans="1:23" ht="12.75" customHeight="1" x14ac:dyDescent="0.2">
      <c r="A2" s="328" t="s">
        <v>315</v>
      </c>
      <c r="B2" s="327"/>
      <c r="C2" s="327"/>
      <c r="D2" s="327"/>
      <c r="E2" s="327"/>
      <c r="F2" s="19"/>
      <c r="G2" s="19"/>
      <c r="H2" s="19"/>
      <c r="I2" s="326"/>
    </row>
    <row r="3" spans="1:23" ht="12.75" customHeight="1" x14ac:dyDescent="0.2">
      <c r="A3" s="19"/>
      <c r="B3" s="19"/>
      <c r="C3" s="19"/>
      <c r="D3" s="19"/>
      <c r="E3" s="19"/>
      <c r="F3" s="19"/>
      <c r="G3" s="19"/>
    </row>
    <row r="4" spans="1:23" ht="12.75" customHeight="1" x14ac:dyDescent="0.2">
      <c r="A4" s="19"/>
      <c r="B4" s="19"/>
      <c r="C4" s="19"/>
      <c r="D4" s="19"/>
      <c r="E4" s="675" t="s">
        <v>317</v>
      </c>
      <c r="F4" s="676"/>
      <c r="G4" s="676"/>
      <c r="H4" s="676"/>
      <c r="I4" s="677"/>
      <c r="J4" s="675" t="s">
        <v>318</v>
      </c>
      <c r="K4" s="676"/>
      <c r="L4" s="676"/>
      <c r="M4" s="677"/>
      <c r="N4" s="675" t="s">
        <v>320</v>
      </c>
      <c r="O4" s="676"/>
      <c r="P4" s="677"/>
    </row>
    <row r="5" spans="1:23" ht="12.75" customHeight="1" x14ac:dyDescent="0.2">
      <c r="A5" s="32"/>
      <c r="B5" s="32"/>
      <c r="C5" s="32"/>
      <c r="D5" s="32"/>
      <c r="E5" s="675" t="s">
        <v>172</v>
      </c>
      <c r="F5" s="677"/>
      <c r="G5" s="675" t="s">
        <v>185</v>
      </c>
      <c r="H5" s="676"/>
      <c r="I5" s="677"/>
      <c r="J5" s="675" t="s">
        <v>174</v>
      </c>
      <c r="K5" s="676"/>
      <c r="L5" s="442" t="s">
        <v>173</v>
      </c>
      <c r="M5" s="442" t="s">
        <v>185</v>
      </c>
      <c r="N5" s="29" t="s">
        <v>173</v>
      </c>
      <c r="O5" s="675" t="s">
        <v>185</v>
      </c>
      <c r="P5" s="677"/>
      <c r="T5" s="34" t="s">
        <v>177</v>
      </c>
      <c r="U5" s="320" t="s">
        <v>176</v>
      </c>
      <c r="V5" t="s">
        <v>179</v>
      </c>
      <c r="W5" t="s">
        <v>178</v>
      </c>
    </row>
    <row r="6" spans="1:23" ht="12.75" customHeight="1" x14ac:dyDescent="0.2">
      <c r="A6" s="236" t="s">
        <v>171</v>
      </c>
      <c r="B6" s="237" t="s">
        <v>31</v>
      </c>
      <c r="C6" s="238" t="s">
        <v>26</v>
      </c>
      <c r="D6" s="431" t="s">
        <v>2</v>
      </c>
      <c r="E6" s="431" t="s">
        <v>321</v>
      </c>
      <c r="F6" s="431" t="s">
        <v>12</v>
      </c>
      <c r="G6" s="442" t="s">
        <v>143</v>
      </c>
      <c r="H6" s="97" t="s">
        <v>32</v>
      </c>
      <c r="I6" s="97" t="s">
        <v>33</v>
      </c>
      <c r="J6" s="442" t="s">
        <v>35</v>
      </c>
      <c r="K6" s="430" t="s">
        <v>194</v>
      </c>
      <c r="L6" s="442" t="s">
        <v>12</v>
      </c>
      <c r="M6" s="97" t="s">
        <v>33</v>
      </c>
      <c r="N6" s="97" t="s">
        <v>12</v>
      </c>
      <c r="O6" s="319" t="s">
        <v>143</v>
      </c>
      <c r="P6" s="97" t="s">
        <v>33</v>
      </c>
      <c r="T6" t="b">
        <f>AND(INT(A7)=A7,A7&gt;0,C7&gt;0)</f>
        <v>1</v>
      </c>
      <c r="U6" t="b">
        <f>AND(AND(INT(A7)=A7,A7&gt;1),C7&gt;0)</f>
        <v>1</v>
      </c>
      <c r="V6" t="b">
        <f>AND(U6,NOT(ISBLANK(O7)))</f>
        <v>1</v>
      </c>
      <c r="W6" s="289">
        <f>2*MIN(1-_xlfn.CHISQ.DIST((C7/O7)^2*J7,J7,TRUE),_xlfn.CHISQ.DIST((C7/O7)^2*J7,J7,TRUE))</f>
        <v>4.9982485073551963E-4</v>
      </c>
    </row>
    <row r="7" spans="1:23" ht="12.75" customHeight="1" x14ac:dyDescent="0.2">
      <c r="A7" s="239">
        <v>3</v>
      </c>
      <c r="B7" s="240">
        <v>46.5</v>
      </c>
      <c r="C7" s="241">
        <v>14.4</v>
      </c>
      <c r="D7" s="206">
        <f>IF(T6,C7/SQRT(A7),"")</f>
        <v>8.3138438763306119</v>
      </c>
      <c r="E7" s="194">
        <f>IF(T7,B7-1.96*C7,"")</f>
        <v>18.276</v>
      </c>
      <c r="F7" s="194">
        <f>IF(T7,B7-1.96*D7,"")</f>
        <v>30.204866002392002</v>
      </c>
      <c r="G7" s="84">
        <v>0</v>
      </c>
      <c r="H7" s="40">
        <f>IF(T8,(B7-G7)/D7,"")</f>
        <v>5.5930807327744994</v>
      </c>
      <c r="I7" s="123" t="str">
        <f>IF(T8,IF(2*NORMSDIST(-ABS(H7))&gt;=0.001,2*NORMSDIST(-ABS(H7)),"&lt;0.001"),"")</f>
        <v>&lt;0.001</v>
      </c>
      <c r="J7" s="67">
        <f>IF(U6,A7-1,"")</f>
        <v>2</v>
      </c>
      <c r="K7" s="435">
        <f>IF(U6,TINV(0.05,J7),"")</f>
        <v>4.3026527297494637</v>
      </c>
      <c r="L7" s="196">
        <f>IF(U7,B7-K7*D7,"")</f>
        <v>10.728416950795229</v>
      </c>
      <c r="M7" s="255">
        <f>IF(U8,IF(2*_xlfn.T.DIST(-ABS(H7),J7,TRUE)&gt;=0.001,2*_xlfn.T.DIST(-ABS(H7),J7,TRUE),"&lt;0.001"),"")</f>
        <v>3.0511240763552713E-2</v>
      </c>
      <c r="N7" s="216">
        <f>IF(U6,C7*SQRT(J7/CHIINV(0.025,J7)),"")</f>
        <v>7.4974790404629692</v>
      </c>
      <c r="O7" s="84">
        <v>5</v>
      </c>
      <c r="P7" s="123" t="str">
        <f>IF(V6,IF(W6&gt;=0.001,W6,"&lt;0.001"),"")</f>
        <v>&lt;0.001</v>
      </c>
      <c r="T7" t="b">
        <f>AND(T6,NOT(ISBLANK(B7)))</f>
        <v>1</v>
      </c>
      <c r="U7" t="b">
        <f>AND(U6,T7)</f>
        <v>1</v>
      </c>
      <c r="W7" s="470"/>
    </row>
    <row r="8" spans="1:23" ht="12.75" customHeight="1" x14ac:dyDescent="0.2">
      <c r="A8" s="32"/>
      <c r="B8" s="32"/>
      <c r="C8" s="32"/>
      <c r="D8" s="32"/>
      <c r="E8" s="197">
        <f>IF(T7,B7+1.96*C7,"")</f>
        <v>74.724000000000004</v>
      </c>
      <c r="F8" s="195">
        <f>IF(T7,B7+1.96*D7,"")</f>
        <v>62.795133997607998</v>
      </c>
      <c r="G8" s="19"/>
      <c r="H8" s="19"/>
      <c r="I8" s="19"/>
      <c r="J8" s="32"/>
      <c r="K8" s="117"/>
      <c r="L8" s="197">
        <f>IF(U7,B7+K7*D7,"")</f>
        <v>82.271583049204764</v>
      </c>
      <c r="M8" s="19"/>
      <c r="N8" s="197">
        <f>IF(U6,C7*SQRT(J7/CHIINV(0.975,J7)),"")</f>
        <v>90.500179629389478</v>
      </c>
      <c r="O8" s="32"/>
      <c r="P8" s="32"/>
      <c r="T8" t="b">
        <f>AND(T7,NOT(ISBLANK(G7)))</f>
        <v>1</v>
      </c>
      <c r="U8" t="b">
        <f>AND(U7,NOT(ISBLANK(G7)))</f>
        <v>1</v>
      </c>
      <c r="W8" s="470"/>
    </row>
    <row r="9" spans="1:23" ht="12.75" customHeight="1" x14ac:dyDescent="0.2">
      <c r="A9" s="644" t="s">
        <v>319</v>
      </c>
      <c r="B9" s="19"/>
      <c r="C9" s="19"/>
      <c r="D9" s="19"/>
      <c r="E9" s="19"/>
      <c r="F9" s="19"/>
      <c r="G9" s="19"/>
      <c r="H9" s="19"/>
      <c r="I9" s="19"/>
      <c r="J9" s="32"/>
      <c r="K9" s="32"/>
      <c r="L9" s="32"/>
      <c r="M9" s="19"/>
      <c r="N9" s="32"/>
      <c r="O9" s="19"/>
      <c r="P9" s="19"/>
      <c r="W9" s="470"/>
    </row>
    <row r="10" spans="1:23" ht="12.75" customHeight="1" x14ac:dyDescent="0.2">
      <c r="A10" s="19"/>
      <c r="B10" s="19"/>
      <c r="C10" s="19"/>
      <c r="D10" s="19"/>
      <c r="E10" s="675" t="s">
        <v>317</v>
      </c>
      <c r="F10" s="676"/>
      <c r="G10" s="676"/>
      <c r="H10" s="676"/>
      <c r="I10" s="677"/>
      <c r="J10" s="675" t="s">
        <v>318</v>
      </c>
      <c r="K10" s="676"/>
      <c r="L10" s="676"/>
      <c r="M10" s="677"/>
      <c r="N10" s="675" t="s">
        <v>320</v>
      </c>
      <c r="O10" s="676"/>
      <c r="P10" s="677"/>
      <c r="W10" s="470"/>
    </row>
    <row r="11" spans="1:23" ht="12.75" customHeight="1" x14ac:dyDescent="0.2">
      <c r="A11" s="32"/>
      <c r="B11" s="32"/>
      <c r="C11" s="32"/>
      <c r="D11" s="32"/>
      <c r="E11" s="675" t="s">
        <v>172</v>
      </c>
      <c r="F11" s="677"/>
      <c r="G11" s="675" t="s">
        <v>185</v>
      </c>
      <c r="H11" s="676"/>
      <c r="I11" s="677"/>
      <c r="J11" s="675" t="s">
        <v>174</v>
      </c>
      <c r="K11" s="676"/>
      <c r="L11" s="442" t="s">
        <v>173</v>
      </c>
      <c r="M11" s="442" t="s">
        <v>185</v>
      </c>
      <c r="N11" s="29" t="s">
        <v>173</v>
      </c>
      <c r="O11" s="675" t="s">
        <v>185</v>
      </c>
      <c r="P11" s="677"/>
      <c r="T11" s="34" t="s">
        <v>177</v>
      </c>
      <c r="U11" s="320" t="s">
        <v>176</v>
      </c>
      <c r="V11" s="289" t="s">
        <v>179</v>
      </c>
      <c r="W11" s="470" t="s">
        <v>178</v>
      </c>
    </row>
    <row r="12" spans="1:23" ht="12.75" customHeight="1" x14ac:dyDescent="0.2">
      <c r="A12" s="236" t="s">
        <v>171</v>
      </c>
      <c r="B12" s="237" t="s">
        <v>31</v>
      </c>
      <c r="C12" s="238" t="s">
        <v>26</v>
      </c>
      <c r="D12" s="431" t="s">
        <v>2</v>
      </c>
      <c r="E12" s="635" t="s">
        <v>321</v>
      </c>
      <c r="F12" s="431" t="s">
        <v>12</v>
      </c>
      <c r="G12" s="442" t="s">
        <v>143</v>
      </c>
      <c r="H12" s="97" t="s">
        <v>32</v>
      </c>
      <c r="I12" s="97" t="s">
        <v>33</v>
      </c>
      <c r="J12" s="442" t="s">
        <v>35</v>
      </c>
      <c r="K12" s="430" t="s">
        <v>194</v>
      </c>
      <c r="L12" s="442" t="s">
        <v>12</v>
      </c>
      <c r="M12" s="97" t="s">
        <v>33</v>
      </c>
      <c r="N12" s="97" t="s">
        <v>12</v>
      </c>
      <c r="O12" s="319" t="s">
        <v>143</v>
      </c>
      <c r="P12" s="97" t="s">
        <v>33</v>
      </c>
      <c r="T12" s="289" t="b">
        <f>AND(INT(A13)=A13,A13&gt;0,C13&gt;0)</f>
        <v>0</v>
      </c>
      <c r="U12" s="289" t="b">
        <f>AND(INT(A13)=A13,A13&gt;1)</f>
        <v>0</v>
      </c>
      <c r="V12" s="289" t="b">
        <f>AND(U12,NOT(ISBLANK(O13)))</f>
        <v>0</v>
      </c>
      <c r="W12" s="470" t="e">
        <f t="shared" ref="W12:W42" si="0">2*MIN(1-_xlfn.CHISQ.DIST((C13/O13)^2*J13,J13,TRUE),_xlfn.CHISQ.DIST((C13/O13)^2*J13,J13,TRUE))</f>
        <v>#DIV/0!</v>
      </c>
    </row>
    <row r="13" spans="1:23" ht="12.75" customHeight="1" x14ac:dyDescent="0.2">
      <c r="A13" s="239"/>
      <c r="B13" s="240"/>
      <c r="C13" s="241"/>
      <c r="D13" s="206" t="str">
        <f>IF(T12,C13/SQRT(A13),"")</f>
        <v/>
      </c>
      <c r="E13" s="194" t="str">
        <f>IF(T13,B13-1.96*C13,"")</f>
        <v/>
      </c>
      <c r="F13" s="194" t="str">
        <f>IF(T13,B13-1.96*D13,"")</f>
        <v/>
      </c>
      <c r="G13" s="84"/>
      <c r="H13" s="40" t="str">
        <f>IF(T14,(B13-G13)/D13,"")</f>
        <v/>
      </c>
      <c r="I13" s="123" t="str">
        <f>IF(T14,IF(2*NORMSDIST(-ABS(H13))&gt;=0.001,2*NORMSDIST(-ABS(H13)),"&lt;0.001"),"")</f>
        <v/>
      </c>
      <c r="J13" s="67" t="str">
        <f>IF(U12,A13-1,"")</f>
        <v/>
      </c>
      <c r="K13" s="435" t="str">
        <f>IF(U12,TINV(0.05,J13),"")</f>
        <v/>
      </c>
      <c r="L13" s="196" t="str">
        <f>IF(U13,B13-K13*D13,"")</f>
        <v/>
      </c>
      <c r="M13" s="255" t="str">
        <f>IF(U14,IF(2*_xlfn.T.DIST(-ABS(H13),J13,TRUE)&gt;=0.001,2*_xlfn.T.DIST(-ABS(H13),J13,TRUE),"&lt;0.001"),"")</f>
        <v/>
      </c>
      <c r="N13" s="216" t="str">
        <f>IF(U12,C13*SQRT(J13/CHIINV(0.025,J13)),"")</f>
        <v/>
      </c>
      <c r="O13" s="84"/>
      <c r="P13" s="123" t="str">
        <f>IF(V12,IF(W12&gt;=0.001,W12,"&lt;0.001"),"")</f>
        <v/>
      </c>
      <c r="T13" s="289" t="b">
        <f>AND(T12,NOT(ISBLANK(B13)))</f>
        <v>0</v>
      </c>
      <c r="U13" s="289" t="b">
        <f>AND(U12,T13)</f>
        <v>0</v>
      </c>
      <c r="W13" s="470"/>
    </row>
    <row r="14" spans="1:23" ht="12.75" customHeight="1" x14ac:dyDescent="0.2">
      <c r="A14" s="32"/>
      <c r="B14" s="32"/>
      <c r="C14" s="32"/>
      <c r="D14" s="32"/>
      <c r="E14" s="197" t="str">
        <f>IF(T13,B13+1.96*C13,"")</f>
        <v/>
      </c>
      <c r="F14" s="195" t="str">
        <f>IF(T13,B13+1.96*D13,"")</f>
        <v/>
      </c>
      <c r="G14" s="19"/>
      <c r="H14" s="19"/>
      <c r="I14" s="19"/>
      <c r="J14" s="32"/>
      <c r="K14" s="117"/>
      <c r="L14" s="197" t="str">
        <f>IF(U13,B13+K13*D13,"")</f>
        <v/>
      </c>
      <c r="M14" s="19"/>
      <c r="N14" s="197" t="str">
        <f>IF(U12,C13*SQRT(J13/CHIINV(0.975,J13)),"")</f>
        <v/>
      </c>
      <c r="O14" s="32"/>
      <c r="P14" s="32"/>
      <c r="T14" s="289" t="b">
        <f>AND(T13,NOT(ISBLANK(G13)))</f>
        <v>0</v>
      </c>
      <c r="U14" s="289" t="b">
        <f>AND(U13,NOT(ISBLANK(G13)))</f>
        <v>0</v>
      </c>
      <c r="W14" s="470"/>
    </row>
    <row r="15" spans="1:23" ht="12.75" customHeight="1" x14ac:dyDescent="0.2">
      <c r="A15" s="644" t="s">
        <v>319</v>
      </c>
      <c r="B15" s="96"/>
      <c r="C15" s="96"/>
      <c r="D15" s="96"/>
      <c r="E15" s="96"/>
      <c r="F15" s="96"/>
      <c r="G15" s="96"/>
      <c r="H15" s="96"/>
      <c r="I15" s="96"/>
      <c r="J15" s="417"/>
      <c r="K15" s="417"/>
      <c r="L15" s="32"/>
      <c r="M15" s="19"/>
      <c r="N15" s="32"/>
      <c r="O15" s="19"/>
      <c r="P15" s="19"/>
      <c r="W15" s="470"/>
    </row>
    <row r="16" spans="1:23" ht="12.75" customHeight="1" x14ac:dyDescent="0.2">
      <c r="A16" s="19"/>
      <c r="B16" s="19"/>
      <c r="C16" s="19"/>
      <c r="D16" s="19"/>
      <c r="E16" s="675" t="s">
        <v>317</v>
      </c>
      <c r="F16" s="676"/>
      <c r="G16" s="676"/>
      <c r="H16" s="676"/>
      <c r="I16" s="677"/>
      <c r="J16" s="675" t="s">
        <v>318</v>
      </c>
      <c r="K16" s="676"/>
      <c r="L16" s="676"/>
      <c r="M16" s="677"/>
      <c r="N16" s="675" t="s">
        <v>320</v>
      </c>
      <c r="O16" s="676"/>
      <c r="P16" s="677"/>
      <c r="W16" s="470"/>
    </row>
    <row r="17" spans="1:23" ht="12.75" customHeight="1" x14ac:dyDescent="0.2">
      <c r="A17" s="32"/>
      <c r="B17" s="32"/>
      <c r="C17" s="32"/>
      <c r="D17" s="32"/>
      <c r="E17" s="675" t="s">
        <v>172</v>
      </c>
      <c r="F17" s="677"/>
      <c r="G17" s="675" t="s">
        <v>185</v>
      </c>
      <c r="H17" s="676"/>
      <c r="I17" s="677"/>
      <c r="J17" s="675" t="s">
        <v>174</v>
      </c>
      <c r="K17" s="676"/>
      <c r="L17" s="442" t="s">
        <v>173</v>
      </c>
      <c r="M17" s="442" t="s">
        <v>185</v>
      </c>
      <c r="N17" s="29" t="s">
        <v>173</v>
      </c>
      <c r="O17" s="675" t="s">
        <v>185</v>
      </c>
      <c r="P17" s="677"/>
      <c r="T17" s="34" t="s">
        <v>177</v>
      </c>
      <c r="U17" s="320" t="s">
        <v>176</v>
      </c>
      <c r="V17" s="289" t="s">
        <v>179</v>
      </c>
      <c r="W17" s="470" t="s">
        <v>178</v>
      </c>
    </row>
    <row r="18" spans="1:23" ht="12.75" customHeight="1" x14ac:dyDescent="0.2">
      <c r="A18" s="236" t="s">
        <v>171</v>
      </c>
      <c r="B18" s="237" t="s">
        <v>31</v>
      </c>
      <c r="C18" s="238" t="s">
        <v>26</v>
      </c>
      <c r="D18" s="431" t="s">
        <v>2</v>
      </c>
      <c r="E18" s="635" t="s">
        <v>321</v>
      </c>
      <c r="F18" s="431" t="s">
        <v>12</v>
      </c>
      <c r="G18" s="442" t="s">
        <v>143</v>
      </c>
      <c r="H18" s="97" t="s">
        <v>32</v>
      </c>
      <c r="I18" s="97" t="s">
        <v>33</v>
      </c>
      <c r="J18" s="442" t="s">
        <v>35</v>
      </c>
      <c r="K18" s="430" t="s">
        <v>194</v>
      </c>
      <c r="L18" s="442" t="s">
        <v>12</v>
      </c>
      <c r="M18" s="97" t="s">
        <v>33</v>
      </c>
      <c r="N18" s="97" t="s">
        <v>12</v>
      </c>
      <c r="O18" s="319" t="s">
        <v>143</v>
      </c>
      <c r="P18" s="97" t="s">
        <v>33</v>
      </c>
      <c r="T18" s="289" t="b">
        <f>AND(INT(A19)=A19,A19&gt;0,C19&gt;0)</f>
        <v>0</v>
      </c>
      <c r="U18" s="289" t="b">
        <f>AND(INT(A19)=A19,A19&gt;1)</f>
        <v>0</v>
      </c>
      <c r="V18" s="289" t="b">
        <f>AND(U18,NOT(ISBLANK(O19)))</f>
        <v>0</v>
      </c>
      <c r="W18" s="470" t="e">
        <f t="shared" si="0"/>
        <v>#DIV/0!</v>
      </c>
    </row>
    <row r="19" spans="1:23" ht="12.75" customHeight="1" x14ac:dyDescent="0.2">
      <c r="A19" s="239"/>
      <c r="B19" s="240"/>
      <c r="C19" s="241"/>
      <c r="D19" s="206" t="str">
        <f>IF(T18,C19/SQRT(A19),"")</f>
        <v/>
      </c>
      <c r="E19" s="194" t="str">
        <f>IF(T19,B19-1.96*C19,"")</f>
        <v/>
      </c>
      <c r="F19" s="194" t="str">
        <f>IF(T19,B19-1.96*D19,"")</f>
        <v/>
      </c>
      <c r="G19" s="84"/>
      <c r="H19" s="40" t="str">
        <f>IF(T20,(B19-G19)/D19,"")</f>
        <v/>
      </c>
      <c r="I19" s="123" t="str">
        <f>IF(T20,IF(2*NORMSDIST(-ABS(H19))&gt;=0.001,2*NORMSDIST(-ABS(H19)),"&lt;0.001"),"")</f>
        <v/>
      </c>
      <c r="J19" s="67" t="str">
        <f>IF(U18,A19-1,"")</f>
        <v/>
      </c>
      <c r="K19" s="435" t="str">
        <f>IF(U18,TINV(0.05,J19),"")</f>
        <v/>
      </c>
      <c r="L19" s="196" t="str">
        <f>IF(U19,B19-K19*D19,"")</f>
        <v/>
      </c>
      <c r="M19" s="255" t="str">
        <f>IF(U20,IF(2*_xlfn.T.DIST(-ABS(H19),J19,TRUE)&gt;=0.001,2*_xlfn.T.DIST(-ABS(H19),J19,TRUE),"&lt;0.001"),"")</f>
        <v/>
      </c>
      <c r="N19" s="216" t="str">
        <f>IF(U18,C19*SQRT(J19/CHIINV(0.025,J19)),"")</f>
        <v/>
      </c>
      <c r="O19" s="84"/>
      <c r="P19" s="123" t="str">
        <f>IF(V18,IF(W18&gt;=0.001,W18,"&lt;0.001"),"")</f>
        <v/>
      </c>
      <c r="T19" s="289" t="b">
        <f>AND(T18,NOT(ISBLANK(B19)))</f>
        <v>0</v>
      </c>
      <c r="U19" s="289" t="b">
        <f>AND(U18,T19)</f>
        <v>0</v>
      </c>
      <c r="W19" s="470"/>
    </row>
    <row r="20" spans="1:23" ht="12.75" customHeight="1" x14ac:dyDescent="0.2">
      <c r="A20" s="32"/>
      <c r="B20" s="32"/>
      <c r="C20" s="32"/>
      <c r="D20" s="32"/>
      <c r="E20" s="197" t="str">
        <f>IF(T19,B19+1.96*C19,"")</f>
        <v/>
      </c>
      <c r="F20" s="195" t="str">
        <f>IF(T19,B19+1.96*D19,"")</f>
        <v/>
      </c>
      <c r="G20" s="19"/>
      <c r="H20" s="19"/>
      <c r="I20" s="19"/>
      <c r="J20" s="32"/>
      <c r="K20" s="117"/>
      <c r="L20" s="197" t="str">
        <f>IF(U19,B19+K19*D19,"")</f>
        <v/>
      </c>
      <c r="M20" s="19"/>
      <c r="N20" s="197" t="str">
        <f>IF(U18,C19*SQRT(J19/CHIINV(0.975,J19)),"")</f>
        <v/>
      </c>
      <c r="O20" s="32"/>
      <c r="P20" s="32"/>
      <c r="T20" s="289" t="b">
        <f>AND(T19,NOT(ISBLANK(G19)))</f>
        <v>0</v>
      </c>
      <c r="U20" s="289" t="b">
        <f>AND(U19,NOT(ISBLANK(G19)))</f>
        <v>0</v>
      </c>
      <c r="W20" s="470"/>
    </row>
    <row r="21" spans="1:23" ht="12.75" customHeight="1" x14ac:dyDescent="0.2">
      <c r="A21" s="644" t="s">
        <v>319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32"/>
      <c r="M21" s="19"/>
      <c r="N21" s="32"/>
      <c r="O21" s="19"/>
      <c r="P21" s="19"/>
      <c r="W21" s="470"/>
    </row>
    <row r="22" spans="1:23" ht="12.75" customHeight="1" x14ac:dyDescent="0.2">
      <c r="A22" s="19"/>
      <c r="B22" s="19"/>
      <c r="C22" s="19"/>
      <c r="D22" s="19"/>
      <c r="E22" s="675" t="s">
        <v>317</v>
      </c>
      <c r="F22" s="676"/>
      <c r="G22" s="676"/>
      <c r="H22" s="676"/>
      <c r="I22" s="677"/>
      <c r="J22" s="675" t="s">
        <v>318</v>
      </c>
      <c r="K22" s="676"/>
      <c r="L22" s="676"/>
      <c r="M22" s="677"/>
      <c r="N22" s="675" t="s">
        <v>320</v>
      </c>
      <c r="O22" s="676"/>
      <c r="P22" s="677"/>
      <c r="W22" s="470"/>
    </row>
    <row r="23" spans="1:23" ht="12.75" customHeight="1" x14ac:dyDescent="0.2">
      <c r="A23" s="32"/>
      <c r="B23" s="32"/>
      <c r="C23" s="32"/>
      <c r="D23" s="32"/>
      <c r="E23" s="675" t="s">
        <v>172</v>
      </c>
      <c r="F23" s="677"/>
      <c r="G23" s="675" t="s">
        <v>185</v>
      </c>
      <c r="H23" s="676"/>
      <c r="I23" s="677"/>
      <c r="J23" s="675" t="s">
        <v>174</v>
      </c>
      <c r="K23" s="676"/>
      <c r="L23" s="442" t="s">
        <v>173</v>
      </c>
      <c r="M23" s="442" t="s">
        <v>185</v>
      </c>
      <c r="N23" s="29" t="s">
        <v>173</v>
      </c>
      <c r="O23" s="675" t="s">
        <v>185</v>
      </c>
      <c r="P23" s="677"/>
      <c r="T23" s="34" t="s">
        <v>177</v>
      </c>
      <c r="U23" s="320" t="s">
        <v>176</v>
      </c>
      <c r="V23" s="289" t="s">
        <v>179</v>
      </c>
      <c r="W23" s="470" t="s">
        <v>178</v>
      </c>
    </row>
    <row r="24" spans="1:23" ht="12.75" customHeight="1" x14ac:dyDescent="0.2">
      <c r="A24" s="236" t="s">
        <v>171</v>
      </c>
      <c r="B24" s="237" t="s">
        <v>31</v>
      </c>
      <c r="C24" s="238" t="s">
        <v>26</v>
      </c>
      <c r="D24" s="431" t="s">
        <v>2</v>
      </c>
      <c r="E24" s="635" t="s">
        <v>321</v>
      </c>
      <c r="F24" s="431" t="s">
        <v>12</v>
      </c>
      <c r="G24" s="442" t="s">
        <v>143</v>
      </c>
      <c r="H24" s="97" t="s">
        <v>32</v>
      </c>
      <c r="I24" s="97" t="s">
        <v>33</v>
      </c>
      <c r="J24" s="442" t="s">
        <v>35</v>
      </c>
      <c r="K24" s="430" t="s">
        <v>194</v>
      </c>
      <c r="L24" s="442" t="s">
        <v>12</v>
      </c>
      <c r="M24" s="97" t="s">
        <v>33</v>
      </c>
      <c r="N24" s="97" t="s">
        <v>12</v>
      </c>
      <c r="O24" s="319" t="s">
        <v>143</v>
      </c>
      <c r="P24" s="97" t="s">
        <v>33</v>
      </c>
      <c r="T24" s="289" t="b">
        <f>AND(INT(A25)=A25,A25&gt;0,C25&gt;0)</f>
        <v>0</v>
      </c>
      <c r="U24" s="289" t="b">
        <f>AND(INT(A25)=A25,A25&gt;1)</f>
        <v>0</v>
      </c>
      <c r="V24" s="289" t="b">
        <f>AND(U24,NOT(ISBLANK(O25)))</f>
        <v>0</v>
      </c>
      <c r="W24" s="470" t="e">
        <f t="shared" si="0"/>
        <v>#DIV/0!</v>
      </c>
    </row>
    <row r="25" spans="1:23" ht="12.75" customHeight="1" x14ac:dyDescent="0.2">
      <c r="A25" s="239"/>
      <c r="B25" s="240"/>
      <c r="C25" s="241"/>
      <c r="D25" s="206" t="str">
        <f>IF(T24,C25/SQRT(A25),"")</f>
        <v/>
      </c>
      <c r="E25" s="194" t="str">
        <f>IF(T25,B25-1.96*C25,"")</f>
        <v/>
      </c>
      <c r="F25" s="194" t="str">
        <f>IF(T25,B25-1.96*D25,"")</f>
        <v/>
      </c>
      <c r="G25" s="84"/>
      <c r="H25" s="40" t="str">
        <f>IF(T26,(B25-G25)/D25,"")</f>
        <v/>
      </c>
      <c r="I25" s="123" t="str">
        <f>IF(T26,IF(2*NORMSDIST(-ABS(H25))&gt;=0.001,2*NORMSDIST(-ABS(H25)),"&lt;0.001"),"")</f>
        <v/>
      </c>
      <c r="J25" s="67" t="str">
        <f>IF(U24,A25-1,"")</f>
        <v/>
      </c>
      <c r="K25" s="435" t="str">
        <f>IF(U24,TINV(0.05,J25),"")</f>
        <v/>
      </c>
      <c r="L25" s="196" t="str">
        <f>IF(U25,B25-K25*D25,"")</f>
        <v/>
      </c>
      <c r="M25" s="255" t="str">
        <f>IF(U26,IF(2*_xlfn.T.DIST(-ABS(H25),J25,TRUE)&gt;=0.001,2*_xlfn.T.DIST(-ABS(H25),J25,TRUE),"&lt;0.001"),"")</f>
        <v/>
      </c>
      <c r="N25" s="216" t="str">
        <f>IF(U24,C25*SQRT(J25/CHIINV(0.025,J25)),"")</f>
        <v/>
      </c>
      <c r="O25" s="84"/>
      <c r="P25" s="123" t="str">
        <f>IF(V24,IF(W24&gt;=0.001,W24,"&lt;0.001"),"")</f>
        <v/>
      </c>
      <c r="T25" s="289" t="b">
        <f>AND(T24,NOT(ISBLANK(B25)))</f>
        <v>0</v>
      </c>
      <c r="U25" s="289" t="b">
        <f>AND(U24,T25)</f>
        <v>0</v>
      </c>
      <c r="W25" s="470"/>
    </row>
    <row r="26" spans="1:23" ht="12.75" customHeight="1" x14ac:dyDescent="0.2">
      <c r="A26" s="32"/>
      <c r="B26" s="32"/>
      <c r="C26" s="32"/>
      <c r="D26" s="32"/>
      <c r="E26" s="197" t="str">
        <f>IF(T25,B25+1.96*C25,"")</f>
        <v/>
      </c>
      <c r="F26" s="195" t="str">
        <f>IF(T25,B25+1.96*D25,"")</f>
        <v/>
      </c>
      <c r="G26" s="19"/>
      <c r="H26" s="19"/>
      <c r="I26" s="19"/>
      <c r="J26" s="32"/>
      <c r="K26" s="117"/>
      <c r="L26" s="197" t="str">
        <f>IF(U25,B25+K25*D25,"")</f>
        <v/>
      </c>
      <c r="M26" s="19"/>
      <c r="N26" s="197" t="str">
        <f>IF(U24,C25*SQRT(J25/CHIINV(0.975,J25)),"")</f>
        <v/>
      </c>
      <c r="O26" s="32"/>
      <c r="P26" s="32"/>
      <c r="T26" s="289" t="b">
        <f>AND(T25,NOT(ISBLANK(G25)))</f>
        <v>0</v>
      </c>
      <c r="U26" s="289" t="b">
        <f>AND(U25,NOT(ISBLANK(G25)))</f>
        <v>0</v>
      </c>
      <c r="W26" s="470"/>
    </row>
    <row r="27" spans="1:23" ht="12.75" customHeight="1" x14ac:dyDescent="0.2">
      <c r="A27" s="644" t="s">
        <v>319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32"/>
      <c r="M27" s="19"/>
      <c r="N27" s="32"/>
      <c r="O27" s="19"/>
      <c r="P27" s="19"/>
      <c r="W27" s="470"/>
    </row>
    <row r="28" spans="1:23" ht="12.75" customHeight="1" x14ac:dyDescent="0.2">
      <c r="A28" s="19"/>
      <c r="B28" s="19"/>
      <c r="C28" s="19"/>
      <c r="D28" s="19"/>
      <c r="E28" s="675" t="s">
        <v>317</v>
      </c>
      <c r="F28" s="676"/>
      <c r="G28" s="676"/>
      <c r="H28" s="676"/>
      <c r="I28" s="677"/>
      <c r="J28" s="675" t="s">
        <v>318</v>
      </c>
      <c r="K28" s="676"/>
      <c r="L28" s="676"/>
      <c r="M28" s="677"/>
      <c r="N28" s="675" t="s">
        <v>320</v>
      </c>
      <c r="O28" s="676"/>
      <c r="P28" s="677"/>
      <c r="W28" s="470"/>
    </row>
    <row r="29" spans="1:23" ht="12.75" customHeight="1" x14ac:dyDescent="0.2">
      <c r="A29" s="32"/>
      <c r="B29" s="32"/>
      <c r="C29" s="32"/>
      <c r="D29" s="32"/>
      <c r="E29" s="675" t="s">
        <v>172</v>
      </c>
      <c r="F29" s="677"/>
      <c r="G29" s="675" t="s">
        <v>185</v>
      </c>
      <c r="H29" s="676"/>
      <c r="I29" s="677"/>
      <c r="J29" s="675" t="s">
        <v>174</v>
      </c>
      <c r="K29" s="676"/>
      <c r="L29" s="442" t="s">
        <v>173</v>
      </c>
      <c r="M29" s="442" t="s">
        <v>185</v>
      </c>
      <c r="N29" s="29" t="s">
        <v>173</v>
      </c>
      <c r="O29" s="675" t="s">
        <v>185</v>
      </c>
      <c r="P29" s="677"/>
      <c r="T29" s="34" t="s">
        <v>177</v>
      </c>
      <c r="U29" s="320" t="s">
        <v>176</v>
      </c>
      <c r="V29" s="289" t="s">
        <v>179</v>
      </c>
      <c r="W29" s="470" t="s">
        <v>178</v>
      </c>
    </row>
    <row r="30" spans="1:23" ht="12.75" customHeight="1" x14ac:dyDescent="0.2">
      <c r="A30" s="236" t="s">
        <v>171</v>
      </c>
      <c r="B30" s="237" t="s">
        <v>31</v>
      </c>
      <c r="C30" s="238" t="s">
        <v>26</v>
      </c>
      <c r="D30" s="431" t="s">
        <v>2</v>
      </c>
      <c r="E30" s="635" t="s">
        <v>321</v>
      </c>
      <c r="F30" s="431" t="s">
        <v>12</v>
      </c>
      <c r="G30" s="442" t="s">
        <v>143</v>
      </c>
      <c r="H30" s="97" t="s">
        <v>32</v>
      </c>
      <c r="I30" s="97" t="s">
        <v>33</v>
      </c>
      <c r="J30" s="442" t="s">
        <v>35</v>
      </c>
      <c r="K30" s="430" t="s">
        <v>194</v>
      </c>
      <c r="L30" s="442" t="s">
        <v>12</v>
      </c>
      <c r="M30" s="97" t="s">
        <v>33</v>
      </c>
      <c r="N30" s="97" t="s">
        <v>12</v>
      </c>
      <c r="O30" s="319" t="s">
        <v>143</v>
      </c>
      <c r="P30" s="97" t="s">
        <v>33</v>
      </c>
      <c r="T30" s="289" t="b">
        <f>AND(INT(A31)=A31,A31&gt;0,C31&gt;0)</f>
        <v>0</v>
      </c>
      <c r="U30" s="289" t="b">
        <f>AND(INT(A31)=A31,A31&gt;1)</f>
        <v>0</v>
      </c>
      <c r="V30" s="289" t="b">
        <f>AND(U30,NOT(ISBLANK(O31)))</f>
        <v>0</v>
      </c>
      <c r="W30" s="470" t="e">
        <f t="shared" si="0"/>
        <v>#DIV/0!</v>
      </c>
    </row>
    <row r="31" spans="1:23" ht="12.75" customHeight="1" x14ac:dyDescent="0.2">
      <c r="A31" s="239"/>
      <c r="B31" s="240"/>
      <c r="C31" s="241"/>
      <c r="D31" s="206" t="str">
        <f>IF(T30,C31/SQRT(A31),"")</f>
        <v/>
      </c>
      <c r="E31" s="194" t="str">
        <f>IF(T31,B31-1.96*C31,"")</f>
        <v/>
      </c>
      <c r="F31" s="194" t="str">
        <f>IF(T31,B31-1.96*D31,"")</f>
        <v/>
      </c>
      <c r="G31" s="84"/>
      <c r="H31" s="40" t="str">
        <f>IF(T32,(B31-G31)/D31,"")</f>
        <v/>
      </c>
      <c r="I31" s="123" t="str">
        <f>IF(T32,IF(2*NORMSDIST(-ABS(H31))&gt;=0.001,2*NORMSDIST(-ABS(H31)),"&lt;0.001"),"")</f>
        <v/>
      </c>
      <c r="J31" s="67" t="str">
        <f>IF(U30,A31-1,"")</f>
        <v/>
      </c>
      <c r="K31" s="435" t="str">
        <f>IF(U30,TINV(0.05,J31),"")</f>
        <v/>
      </c>
      <c r="L31" s="196" t="str">
        <f>IF(U31,B31-K31*D31,"")</f>
        <v/>
      </c>
      <c r="M31" s="255" t="str">
        <f>IF(U32,IF(2*_xlfn.T.DIST(-ABS(H31),J31,TRUE)&gt;=0.001,2*_xlfn.T.DIST(-ABS(H31),J31,TRUE),"&lt;0.001"),"")</f>
        <v/>
      </c>
      <c r="N31" s="216" t="str">
        <f>IF(U30,C31*SQRT(J31/CHIINV(0.025,J31)),"")</f>
        <v/>
      </c>
      <c r="O31" s="84"/>
      <c r="P31" s="123" t="str">
        <f>IF(V30,IF(W30&gt;=0.001,W30,"&lt;0.001"),"")</f>
        <v/>
      </c>
      <c r="T31" s="289" t="b">
        <f>AND(T30,NOT(ISBLANK(B31)))</f>
        <v>0</v>
      </c>
      <c r="U31" s="289" t="b">
        <f>AND(U30,T31)</f>
        <v>0</v>
      </c>
      <c r="W31" s="470"/>
    </row>
    <row r="32" spans="1:23" ht="12.75" customHeight="1" x14ac:dyDescent="0.2">
      <c r="A32" s="32"/>
      <c r="B32" s="32"/>
      <c r="C32" s="32"/>
      <c r="D32" s="32"/>
      <c r="E32" s="197" t="str">
        <f>IF(T31,B31+1.96*C31,"")</f>
        <v/>
      </c>
      <c r="F32" s="195" t="str">
        <f>IF(T31,B31+1.96*D31,"")</f>
        <v/>
      </c>
      <c r="G32" s="19"/>
      <c r="H32" s="19"/>
      <c r="I32" s="19"/>
      <c r="J32" s="32"/>
      <c r="K32" s="117"/>
      <c r="L32" s="197" t="str">
        <f>IF(U31,B31+K31*D31,"")</f>
        <v/>
      </c>
      <c r="M32" s="19"/>
      <c r="N32" s="197" t="str">
        <f>IF(U30,C31*SQRT(J31/CHIINV(0.975,J31)),"")</f>
        <v/>
      </c>
      <c r="O32" s="32"/>
      <c r="P32" s="32"/>
      <c r="T32" s="289" t="b">
        <f>AND(T31,NOT(ISBLANK(G31)))</f>
        <v>0</v>
      </c>
      <c r="U32" s="289" t="b">
        <f>AND(U31,NOT(ISBLANK(G31)))</f>
        <v>0</v>
      </c>
      <c r="W32" s="470"/>
    </row>
    <row r="33" spans="1:23" ht="12.75" customHeight="1" x14ac:dyDescent="0.2">
      <c r="A33" s="644" t="s">
        <v>319</v>
      </c>
      <c r="B33" s="321"/>
      <c r="C33" s="321"/>
      <c r="D33" s="322"/>
      <c r="E33" s="322"/>
      <c r="F33" s="322"/>
      <c r="G33" s="323"/>
      <c r="H33" s="322"/>
      <c r="I33" s="322"/>
      <c r="J33" s="417"/>
      <c r="K33" s="417"/>
      <c r="L33" s="32"/>
      <c r="M33" s="19"/>
      <c r="N33" s="32"/>
      <c r="O33" s="19"/>
      <c r="P33" s="19"/>
      <c r="W33" s="470"/>
    </row>
    <row r="34" spans="1:23" ht="12.75" customHeight="1" x14ac:dyDescent="0.2">
      <c r="A34" s="19"/>
      <c r="B34" s="19"/>
      <c r="C34" s="19"/>
      <c r="D34" s="19"/>
      <c r="E34" s="675" t="s">
        <v>317</v>
      </c>
      <c r="F34" s="676"/>
      <c r="G34" s="676"/>
      <c r="H34" s="676"/>
      <c r="I34" s="677"/>
      <c r="J34" s="675" t="s">
        <v>318</v>
      </c>
      <c r="K34" s="676"/>
      <c r="L34" s="676"/>
      <c r="M34" s="677"/>
      <c r="N34" s="675" t="s">
        <v>320</v>
      </c>
      <c r="O34" s="676"/>
      <c r="P34" s="677"/>
      <c r="W34" s="470"/>
    </row>
    <row r="35" spans="1:23" ht="12.75" customHeight="1" x14ac:dyDescent="0.2">
      <c r="A35" s="32"/>
      <c r="B35" s="32"/>
      <c r="C35" s="32"/>
      <c r="D35" s="32"/>
      <c r="E35" s="675" t="s">
        <v>172</v>
      </c>
      <c r="F35" s="677"/>
      <c r="G35" s="675" t="s">
        <v>185</v>
      </c>
      <c r="H35" s="676"/>
      <c r="I35" s="677"/>
      <c r="J35" s="675" t="s">
        <v>174</v>
      </c>
      <c r="K35" s="676"/>
      <c r="L35" s="442" t="s">
        <v>173</v>
      </c>
      <c r="M35" s="442" t="s">
        <v>185</v>
      </c>
      <c r="N35" s="29" t="s">
        <v>173</v>
      </c>
      <c r="O35" s="675" t="s">
        <v>185</v>
      </c>
      <c r="P35" s="677"/>
      <c r="T35" s="34" t="s">
        <v>177</v>
      </c>
      <c r="U35" s="320" t="s">
        <v>176</v>
      </c>
      <c r="V35" s="289" t="s">
        <v>179</v>
      </c>
      <c r="W35" s="470" t="s">
        <v>178</v>
      </c>
    </row>
    <row r="36" spans="1:23" ht="12.75" customHeight="1" x14ac:dyDescent="0.2">
      <c r="A36" s="236" t="s">
        <v>171</v>
      </c>
      <c r="B36" s="237" t="s">
        <v>31</v>
      </c>
      <c r="C36" s="238" t="s">
        <v>26</v>
      </c>
      <c r="D36" s="431" t="s">
        <v>2</v>
      </c>
      <c r="E36" s="635" t="s">
        <v>321</v>
      </c>
      <c r="F36" s="431" t="s">
        <v>12</v>
      </c>
      <c r="G36" s="442" t="s">
        <v>143</v>
      </c>
      <c r="H36" s="97" t="s">
        <v>32</v>
      </c>
      <c r="I36" s="97" t="s">
        <v>33</v>
      </c>
      <c r="J36" s="442" t="s">
        <v>35</v>
      </c>
      <c r="K36" s="430" t="s">
        <v>194</v>
      </c>
      <c r="L36" s="442" t="s">
        <v>12</v>
      </c>
      <c r="M36" s="97" t="s">
        <v>33</v>
      </c>
      <c r="N36" s="97" t="s">
        <v>12</v>
      </c>
      <c r="O36" s="319" t="s">
        <v>143</v>
      </c>
      <c r="P36" s="97" t="s">
        <v>33</v>
      </c>
      <c r="T36" s="289" t="b">
        <f>AND(INT(A37)=A37,A37&gt;0,C37&gt;0)</f>
        <v>0</v>
      </c>
      <c r="U36" s="289" t="b">
        <f>AND(INT(A37)=A37,A37&gt;1)</f>
        <v>0</v>
      </c>
      <c r="V36" s="289" t="b">
        <f>AND(U36,NOT(ISBLANK(O37)))</f>
        <v>0</v>
      </c>
      <c r="W36" s="470" t="e">
        <f t="shared" si="0"/>
        <v>#DIV/0!</v>
      </c>
    </row>
    <row r="37" spans="1:23" ht="12.75" customHeight="1" x14ac:dyDescent="0.2">
      <c r="A37" s="239"/>
      <c r="B37" s="240"/>
      <c r="C37" s="241"/>
      <c r="D37" s="206" t="str">
        <f>IF(T36,C37/SQRT(A37),"")</f>
        <v/>
      </c>
      <c r="E37" s="194" t="str">
        <f>IF(T37,B37-1.96*C37,"")</f>
        <v/>
      </c>
      <c r="F37" s="194" t="str">
        <f>IF(T37,B37-1.96*D37,"")</f>
        <v/>
      </c>
      <c r="G37" s="84"/>
      <c r="H37" s="40" t="str">
        <f>IF(T38,(B37-G37)/D37,"")</f>
        <v/>
      </c>
      <c r="I37" s="123" t="str">
        <f>IF(T38,IF(2*NORMSDIST(-ABS(H37))&gt;=0.001,2*NORMSDIST(-ABS(H37)),"&lt;0.001"),"")</f>
        <v/>
      </c>
      <c r="J37" s="67" t="str">
        <f>IF(U36,A37-1,"")</f>
        <v/>
      </c>
      <c r="K37" s="435" t="str">
        <f>IF(U36,TINV(0.05,J37),"")</f>
        <v/>
      </c>
      <c r="L37" s="196" t="str">
        <f>IF(U37,B37-K37*D37,"")</f>
        <v/>
      </c>
      <c r="M37" s="255" t="str">
        <f>IF(U38,IF(2*_xlfn.T.DIST(-ABS(H37),J37,TRUE)&gt;=0.001,2*_xlfn.T.DIST(-ABS(H37),J37,TRUE),"&lt;0.001"),"")</f>
        <v/>
      </c>
      <c r="N37" s="216" t="str">
        <f>IF(U36,C37*SQRT(J37/CHIINV(0.025,J37)),"")</f>
        <v/>
      </c>
      <c r="O37" s="84"/>
      <c r="P37" s="123" t="str">
        <f>IF(V36,IF(W36&gt;=0.001,W36,"&lt;0.001"),"")</f>
        <v/>
      </c>
      <c r="T37" s="289" t="b">
        <f>AND(T36,NOT(ISBLANK(B37)))</f>
        <v>0</v>
      </c>
      <c r="U37" s="289" t="b">
        <f>AND(U36,T37)</f>
        <v>0</v>
      </c>
      <c r="W37" s="470"/>
    </row>
    <row r="38" spans="1:23" ht="12.75" customHeight="1" x14ac:dyDescent="0.2">
      <c r="A38" s="32"/>
      <c r="B38" s="32"/>
      <c r="C38" s="32"/>
      <c r="D38" s="32"/>
      <c r="E38" s="197" t="str">
        <f>IF(T37,B37+1.96*C37,"")</f>
        <v/>
      </c>
      <c r="F38" s="195" t="str">
        <f>IF(T37,B37+1.96*D37,"")</f>
        <v/>
      </c>
      <c r="G38" s="19"/>
      <c r="H38" s="19"/>
      <c r="I38" s="19"/>
      <c r="J38" s="32"/>
      <c r="K38" s="117"/>
      <c r="L38" s="197" t="str">
        <f>IF(U37,B37+K37*D37,"")</f>
        <v/>
      </c>
      <c r="M38" s="19"/>
      <c r="N38" s="197" t="str">
        <f>IF(U36,C37*SQRT(J37/CHIINV(0.975,J37)),"")</f>
        <v/>
      </c>
      <c r="O38" s="32"/>
      <c r="P38" s="32"/>
      <c r="T38" s="289" t="b">
        <f>AND(T37,NOT(ISBLANK(G37)))</f>
        <v>0</v>
      </c>
      <c r="U38" s="289" t="b">
        <f>AND(U37,NOT(ISBLANK(G37)))</f>
        <v>0</v>
      </c>
      <c r="W38" s="470"/>
    </row>
    <row r="39" spans="1:23" ht="12.75" customHeight="1" x14ac:dyDescent="0.2">
      <c r="A39" s="644" t="s">
        <v>319</v>
      </c>
      <c r="B39" s="417"/>
      <c r="C39" s="417"/>
      <c r="D39" s="417"/>
      <c r="E39" s="322"/>
      <c r="F39" s="322"/>
      <c r="G39" s="417"/>
      <c r="H39" s="322"/>
      <c r="I39" s="322"/>
      <c r="J39" s="417"/>
      <c r="K39" s="417"/>
      <c r="L39" s="32"/>
      <c r="M39" s="19"/>
      <c r="N39" s="32"/>
      <c r="O39" s="19"/>
      <c r="P39" s="19"/>
      <c r="W39" s="470"/>
    </row>
    <row r="40" spans="1:23" ht="12.75" customHeight="1" x14ac:dyDescent="0.2">
      <c r="A40" s="19"/>
      <c r="B40" s="19"/>
      <c r="C40" s="19"/>
      <c r="D40" s="19"/>
      <c r="E40" s="675" t="s">
        <v>317</v>
      </c>
      <c r="F40" s="676"/>
      <c r="G40" s="676"/>
      <c r="H40" s="676"/>
      <c r="I40" s="677"/>
      <c r="J40" s="675" t="s">
        <v>318</v>
      </c>
      <c r="K40" s="676"/>
      <c r="L40" s="676"/>
      <c r="M40" s="677"/>
      <c r="N40" s="675" t="s">
        <v>320</v>
      </c>
      <c r="O40" s="676"/>
      <c r="P40" s="677"/>
      <c r="W40" s="470"/>
    </row>
    <row r="41" spans="1:23" ht="12.75" customHeight="1" x14ac:dyDescent="0.2">
      <c r="A41" s="32"/>
      <c r="B41" s="32"/>
      <c r="C41" s="32"/>
      <c r="D41" s="32"/>
      <c r="E41" s="675" t="s">
        <v>172</v>
      </c>
      <c r="F41" s="677"/>
      <c r="G41" s="675" t="s">
        <v>185</v>
      </c>
      <c r="H41" s="676"/>
      <c r="I41" s="677"/>
      <c r="J41" s="675" t="s">
        <v>174</v>
      </c>
      <c r="K41" s="676"/>
      <c r="L41" s="442" t="s">
        <v>173</v>
      </c>
      <c r="M41" s="442" t="s">
        <v>185</v>
      </c>
      <c r="N41" s="29" t="s">
        <v>173</v>
      </c>
      <c r="O41" s="675" t="s">
        <v>185</v>
      </c>
      <c r="P41" s="677"/>
      <c r="T41" s="34" t="s">
        <v>177</v>
      </c>
      <c r="U41" s="320" t="s">
        <v>176</v>
      </c>
      <c r="V41" s="289" t="s">
        <v>179</v>
      </c>
      <c r="W41" s="470" t="s">
        <v>178</v>
      </c>
    </row>
    <row r="42" spans="1:23" ht="12.75" customHeight="1" x14ac:dyDescent="0.2">
      <c r="A42" s="236" t="s">
        <v>171</v>
      </c>
      <c r="B42" s="237" t="s">
        <v>31</v>
      </c>
      <c r="C42" s="238" t="s">
        <v>26</v>
      </c>
      <c r="D42" s="431" t="s">
        <v>2</v>
      </c>
      <c r="E42" s="635" t="s">
        <v>321</v>
      </c>
      <c r="F42" s="431" t="s">
        <v>12</v>
      </c>
      <c r="G42" s="442" t="s">
        <v>143</v>
      </c>
      <c r="H42" s="97" t="s">
        <v>32</v>
      </c>
      <c r="I42" s="97" t="s">
        <v>33</v>
      </c>
      <c r="J42" s="442" t="s">
        <v>35</v>
      </c>
      <c r="K42" s="430" t="s">
        <v>194</v>
      </c>
      <c r="L42" s="442" t="s">
        <v>12</v>
      </c>
      <c r="M42" s="97" t="s">
        <v>33</v>
      </c>
      <c r="N42" s="97" t="s">
        <v>12</v>
      </c>
      <c r="O42" s="319" t="s">
        <v>143</v>
      </c>
      <c r="P42" s="97" t="s">
        <v>33</v>
      </c>
      <c r="T42" s="289" t="b">
        <f>AND(INT(A43)=A43,A43&gt;0,C43&gt;0)</f>
        <v>0</v>
      </c>
      <c r="U42" s="289" t="b">
        <f>AND(INT(A43)=A43,A43&gt;1)</f>
        <v>0</v>
      </c>
      <c r="V42" s="289" t="b">
        <f>AND(U42,NOT(ISBLANK(O43)))</f>
        <v>0</v>
      </c>
      <c r="W42" s="470" t="e">
        <f t="shared" si="0"/>
        <v>#DIV/0!</v>
      </c>
    </row>
    <row r="43" spans="1:23" ht="12.75" customHeight="1" x14ac:dyDescent="0.2">
      <c r="A43" s="239"/>
      <c r="B43" s="240"/>
      <c r="C43" s="241"/>
      <c r="D43" s="206" t="str">
        <f>IF(T42,C43/SQRT(A43),"")</f>
        <v/>
      </c>
      <c r="E43" s="194" t="str">
        <f>IF(T43,B43-1.96*C43,"")</f>
        <v/>
      </c>
      <c r="F43" s="194" t="str">
        <f>IF(T43,B43-1.96*D43,"")</f>
        <v/>
      </c>
      <c r="G43" s="84"/>
      <c r="H43" s="40" t="str">
        <f>IF(T44,(B43-G43)/D43,"")</f>
        <v/>
      </c>
      <c r="I43" s="123" t="str">
        <f>IF(T44,IF(2*NORMSDIST(-ABS(H43))&gt;=0.001,2*NORMSDIST(-ABS(H43)),"&lt;0.001"),"")</f>
        <v/>
      </c>
      <c r="J43" s="67" t="str">
        <f>IF(U42,A43-1,"")</f>
        <v/>
      </c>
      <c r="K43" s="435" t="str">
        <f>IF(U42,TINV(0.05,J43),"")</f>
        <v/>
      </c>
      <c r="L43" s="196" t="str">
        <f>IF(U43,B43-K43*D43,"")</f>
        <v/>
      </c>
      <c r="M43" s="255" t="str">
        <f>IF(U44,IF(2*_xlfn.T.DIST(-ABS(H43),J43,TRUE)&gt;=0.001,2*_xlfn.T.DIST(-ABS(H43),J43,TRUE),"&lt;0.001"),"")</f>
        <v/>
      </c>
      <c r="N43" s="216" t="str">
        <f>IF(U42,C43*SQRT(J43/CHIINV(0.025,J43)),"")</f>
        <v/>
      </c>
      <c r="O43" s="84"/>
      <c r="P43" s="123" t="str">
        <f>IF(V42,IF(W42&gt;=0.001,W42,"&lt;0.001"),"")</f>
        <v/>
      </c>
      <c r="T43" s="289" t="b">
        <f>AND(T42,NOT(ISBLANK(B43)))</f>
        <v>0</v>
      </c>
      <c r="U43" s="289" t="b">
        <f>AND(U42,T43)</f>
        <v>0</v>
      </c>
      <c r="W43" s="470"/>
    </row>
    <row r="44" spans="1:23" ht="12.75" customHeight="1" x14ac:dyDescent="0.2">
      <c r="A44" s="32"/>
      <c r="B44" s="32"/>
      <c r="C44" s="32"/>
      <c r="D44" s="32"/>
      <c r="E44" s="197" t="str">
        <f>IF(T43,B43+1.96*C43,"")</f>
        <v/>
      </c>
      <c r="F44" s="195" t="str">
        <f>IF(T43,B43+1.96*D43,"")</f>
        <v/>
      </c>
      <c r="G44" s="19"/>
      <c r="H44" s="19"/>
      <c r="I44" s="19"/>
      <c r="J44" s="32"/>
      <c r="K44" s="117"/>
      <c r="L44" s="197" t="str">
        <f>IF(U43,B43+K43*D43,"")</f>
        <v/>
      </c>
      <c r="M44" s="19"/>
      <c r="N44" s="197" t="str">
        <f>IF(U42,C43*SQRT(J43/CHIINV(0.975,J43)),"")</f>
        <v/>
      </c>
      <c r="O44" s="32"/>
      <c r="P44" s="32"/>
      <c r="T44" s="289" t="b">
        <f>AND(T43,NOT(ISBLANK(G43)))</f>
        <v>0</v>
      </c>
      <c r="U44" s="289" t="b">
        <f>AND(U43,NOT(ISBLANK(G43)))</f>
        <v>0</v>
      </c>
      <c r="W44" s="470"/>
    </row>
    <row r="45" spans="1:23" ht="12.75" customHeight="1" x14ac:dyDescent="0.2">
      <c r="A45" s="644" t="s">
        <v>319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19"/>
      <c r="M45" s="19"/>
      <c r="N45" s="19"/>
      <c r="O45" s="19"/>
      <c r="P45" s="19"/>
    </row>
    <row r="46" spans="1:23" x14ac:dyDescent="0.2">
      <c r="B46" s="324"/>
      <c r="C46" s="324"/>
      <c r="D46" s="324"/>
      <c r="E46" s="324"/>
      <c r="F46" s="324"/>
      <c r="G46" s="324"/>
      <c r="H46" s="324"/>
      <c r="I46" s="324"/>
      <c r="J46" s="324"/>
      <c r="K46" s="324"/>
    </row>
    <row r="47" spans="1:23" x14ac:dyDescent="0.2">
      <c r="A47" s="324"/>
      <c r="B47" s="324"/>
      <c r="C47" s="324"/>
      <c r="D47" s="324"/>
      <c r="E47" s="324"/>
      <c r="F47" s="324"/>
      <c r="G47" s="324"/>
      <c r="H47" s="324"/>
      <c r="I47" s="324"/>
      <c r="J47" s="324"/>
      <c r="K47" s="324"/>
    </row>
    <row r="48" spans="1:23" x14ac:dyDescent="0.2">
      <c r="A48" s="324"/>
      <c r="B48" s="324"/>
      <c r="C48" s="324"/>
      <c r="D48" s="324"/>
      <c r="E48" s="324"/>
      <c r="G48" s="324"/>
      <c r="H48" s="324"/>
      <c r="I48" s="324"/>
      <c r="J48" s="324"/>
      <c r="K48" s="324"/>
    </row>
    <row r="49" spans="1:11" x14ac:dyDescent="0.2">
      <c r="A49" s="324"/>
      <c r="B49" s="324"/>
      <c r="C49" s="324"/>
      <c r="D49" s="324"/>
      <c r="E49" s="324"/>
      <c r="F49" s="324"/>
      <c r="G49" s="324"/>
      <c r="H49" s="324"/>
      <c r="I49" s="324"/>
      <c r="J49" s="324"/>
      <c r="K49" s="324"/>
    </row>
    <row r="50" spans="1:11" x14ac:dyDescent="0.2">
      <c r="A50" s="324"/>
      <c r="B50" s="324"/>
      <c r="C50" s="324"/>
      <c r="D50" s="324"/>
      <c r="E50" s="324"/>
      <c r="F50" s="324"/>
      <c r="G50" s="324"/>
      <c r="H50" s="324"/>
      <c r="I50" s="324"/>
      <c r="J50" s="324"/>
      <c r="K50" s="324"/>
    </row>
    <row r="51" spans="1:11" x14ac:dyDescent="0.2">
      <c r="A51" s="324"/>
      <c r="B51" s="324"/>
      <c r="C51" s="324"/>
      <c r="D51" s="324"/>
      <c r="E51" s="324"/>
      <c r="F51" s="324"/>
      <c r="G51" s="324"/>
      <c r="H51" s="324"/>
      <c r="I51" s="324"/>
      <c r="J51" s="324"/>
      <c r="K51" s="324"/>
    </row>
  </sheetData>
  <sheetProtection sheet="1" formatCells="0" formatColumns="0" formatRows="0"/>
  <mergeCells count="49">
    <mergeCell ref="O29:P29"/>
    <mergeCell ref="N34:P34"/>
    <mergeCell ref="O35:P35"/>
    <mergeCell ref="N40:P40"/>
    <mergeCell ref="O41:P41"/>
    <mergeCell ref="N16:P16"/>
    <mergeCell ref="O17:P17"/>
    <mergeCell ref="N22:P22"/>
    <mergeCell ref="O23:P23"/>
    <mergeCell ref="N28:P28"/>
    <mergeCell ref="J34:M34"/>
    <mergeCell ref="J35:K35"/>
    <mergeCell ref="E40:I40"/>
    <mergeCell ref="J40:M40"/>
    <mergeCell ref="E41:F41"/>
    <mergeCell ref="G41:I41"/>
    <mergeCell ref="J41:K41"/>
    <mergeCell ref="E35:F35"/>
    <mergeCell ref="G35:I35"/>
    <mergeCell ref="E34:I34"/>
    <mergeCell ref="J23:K23"/>
    <mergeCell ref="E28:I28"/>
    <mergeCell ref="J28:M28"/>
    <mergeCell ref="E29:F29"/>
    <mergeCell ref="G29:I29"/>
    <mergeCell ref="J29:K29"/>
    <mergeCell ref="E23:F23"/>
    <mergeCell ref="G23:I23"/>
    <mergeCell ref="E17:F17"/>
    <mergeCell ref="G17:I17"/>
    <mergeCell ref="J17:K17"/>
    <mergeCell ref="E22:I22"/>
    <mergeCell ref="J22:M22"/>
    <mergeCell ref="E16:I16"/>
    <mergeCell ref="J16:M16"/>
    <mergeCell ref="G5:I5"/>
    <mergeCell ref="E5:F5"/>
    <mergeCell ref="N4:P4"/>
    <mergeCell ref="O5:P5"/>
    <mergeCell ref="N10:P10"/>
    <mergeCell ref="O11:P11"/>
    <mergeCell ref="E4:I4"/>
    <mergeCell ref="J4:M4"/>
    <mergeCell ref="J5:K5"/>
    <mergeCell ref="G11:I11"/>
    <mergeCell ref="E11:F11"/>
    <mergeCell ref="E10:I10"/>
    <mergeCell ref="J10:M10"/>
    <mergeCell ref="J11:K1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B33" sqref="B33"/>
    </sheetView>
  </sheetViews>
  <sheetFormatPr defaultRowHeight="12.75" x14ac:dyDescent="0.2"/>
  <cols>
    <col min="1" max="1" width="12.140625" customWidth="1"/>
    <col min="2" max="2" width="10.42578125" customWidth="1"/>
    <col min="3" max="3" width="10.85546875" customWidth="1"/>
    <col min="4" max="9" width="8.7109375" customWidth="1"/>
    <col min="10" max="10" width="10.42578125" customWidth="1"/>
    <col min="11" max="11" width="7" customWidth="1"/>
    <col min="12" max="12" width="7.5703125" customWidth="1"/>
    <col min="13" max="13" width="11" customWidth="1"/>
    <col min="14" max="14" width="12" hidden="1" customWidth="1"/>
    <col min="15" max="15" width="7.7109375" hidden="1" customWidth="1"/>
  </cols>
  <sheetData>
    <row r="1" spans="1:16" ht="12.75" customHeight="1" x14ac:dyDescent="0.2">
      <c r="A1" s="247" t="s">
        <v>235</v>
      </c>
      <c r="B1" s="330"/>
      <c r="C1" s="330"/>
      <c r="D1" s="330"/>
      <c r="E1" s="330"/>
      <c r="F1" s="330"/>
      <c r="G1" s="182"/>
      <c r="H1" s="182"/>
      <c r="I1" s="331"/>
    </row>
    <row r="2" spans="1:16" ht="12.75" customHeight="1" x14ac:dyDescent="0.2">
      <c r="A2" s="329" t="s">
        <v>314</v>
      </c>
      <c r="B2" s="182"/>
      <c r="C2" s="182"/>
      <c r="D2" s="182"/>
      <c r="E2" s="182"/>
      <c r="F2" s="248"/>
      <c r="G2" s="182"/>
      <c r="H2" s="249"/>
      <c r="I2" s="331"/>
      <c r="J2" s="200"/>
      <c r="K2" s="174"/>
      <c r="L2" s="174"/>
      <c r="M2" s="174"/>
      <c r="N2" s="174"/>
      <c r="O2" s="180"/>
      <c r="P2" s="182"/>
    </row>
    <row r="3" spans="1:16" ht="12.75" customHeight="1" x14ac:dyDescent="0.2">
      <c r="A3" s="182"/>
      <c r="B3" s="182"/>
      <c r="C3" s="182"/>
      <c r="D3" s="182"/>
      <c r="E3" s="182"/>
      <c r="F3" s="248"/>
      <c r="G3" s="182"/>
      <c r="H3" s="182"/>
      <c r="I3" s="182"/>
      <c r="J3" s="200"/>
      <c r="K3" s="174"/>
      <c r="L3" s="174"/>
      <c r="M3" s="174"/>
      <c r="N3" s="174"/>
      <c r="O3" s="180"/>
      <c r="P3" s="182"/>
    </row>
    <row r="4" spans="1:16" ht="12.75" customHeight="1" x14ac:dyDescent="0.2">
      <c r="A4" s="182"/>
      <c r="B4" s="182"/>
      <c r="C4" s="182"/>
      <c r="D4" s="182"/>
      <c r="E4" s="182"/>
      <c r="F4" s="182"/>
      <c r="G4" s="250"/>
      <c r="H4" s="250"/>
      <c r="I4" s="182"/>
      <c r="J4" s="200"/>
      <c r="K4" s="174"/>
      <c r="L4" s="174"/>
      <c r="M4" s="174"/>
      <c r="N4" s="175"/>
      <c r="O4" s="181"/>
      <c r="P4" s="182"/>
    </row>
    <row r="5" spans="1:16" ht="12.75" customHeight="1" x14ac:dyDescent="0.2">
      <c r="A5" s="26"/>
      <c r="B5" s="325"/>
      <c r="C5" s="325"/>
      <c r="D5" s="325"/>
      <c r="E5" s="26"/>
      <c r="F5" s="26"/>
      <c r="G5" s="26"/>
      <c r="H5" s="26"/>
      <c r="I5" s="26"/>
      <c r="J5" s="345"/>
      <c r="K5" s="346"/>
      <c r="L5" s="346"/>
      <c r="M5" s="175"/>
      <c r="N5" s="175"/>
      <c r="O5" s="181"/>
      <c r="P5" s="182"/>
    </row>
    <row r="6" spans="1:16" ht="12.75" customHeight="1" x14ac:dyDescent="0.2">
      <c r="A6" s="26"/>
      <c r="B6" s="26"/>
      <c r="C6" s="26"/>
      <c r="D6" s="675" t="s">
        <v>174</v>
      </c>
      <c r="E6" s="677"/>
      <c r="F6" s="675" t="s">
        <v>172</v>
      </c>
      <c r="G6" s="676"/>
      <c r="H6" s="676"/>
      <c r="I6" s="677"/>
      <c r="J6" s="675" t="s">
        <v>185</v>
      </c>
      <c r="K6" s="676"/>
      <c r="L6" s="677"/>
      <c r="M6" s="179"/>
      <c r="N6" s="175"/>
      <c r="O6" s="181"/>
      <c r="P6" s="182"/>
    </row>
    <row r="7" spans="1:16" ht="12.75" customHeight="1" x14ac:dyDescent="0.2">
      <c r="A7" s="26"/>
      <c r="B7" s="251"/>
      <c r="C7" s="251"/>
      <c r="D7" s="433" t="s">
        <v>74</v>
      </c>
      <c r="E7" s="80" t="s">
        <v>2</v>
      </c>
      <c r="F7" s="678" t="s">
        <v>54</v>
      </c>
      <c r="G7" s="678"/>
      <c r="H7" s="679" t="s">
        <v>52</v>
      </c>
      <c r="I7" s="680"/>
      <c r="J7" s="442" t="s">
        <v>143</v>
      </c>
      <c r="K7" s="442" t="s">
        <v>32</v>
      </c>
      <c r="L7" s="442" t="s">
        <v>33</v>
      </c>
      <c r="M7" s="179"/>
      <c r="N7" s="176" t="s">
        <v>55</v>
      </c>
      <c r="O7" s="176" t="s">
        <v>175</v>
      </c>
      <c r="P7" s="182"/>
    </row>
    <row r="8" spans="1:16" ht="12.75" customHeight="1" x14ac:dyDescent="0.2">
      <c r="A8" s="209" t="s">
        <v>72</v>
      </c>
      <c r="B8" s="242">
        <v>18</v>
      </c>
      <c r="C8" s="342" t="s">
        <v>69</v>
      </c>
      <c r="D8" s="332">
        <f>IF(O8,B8/B9,"")</f>
        <v>4.0178571428571432E-2</v>
      </c>
      <c r="E8" s="333">
        <f>IF(O8,SQRT(D8*(1-D8)/B9),"")</f>
        <v>9.2779805841537739E-3</v>
      </c>
      <c r="F8" s="334">
        <f>IF(O8,D8-1.96*E8,"")</f>
        <v>2.1993729483630035E-2</v>
      </c>
      <c r="G8" s="334">
        <f>IF(O8,D8+1.96*E8,"")</f>
        <v>5.8363413373512828E-2</v>
      </c>
      <c r="H8" s="332">
        <f>IF(O8,IF(B8=0,0,B8/(B8+(B9-B8+1)*FINV(0.025,2*N8+2,2*B8))),"")</f>
        <v>2.3983262959267782E-2</v>
      </c>
      <c r="I8" s="335">
        <f>IF(O8,IF(B8=B9,1,(B8+1)/(B8+1+N8/FINV(0.025,2*B8+2,2*N8))),"")</f>
        <v>6.275775520031722E-2</v>
      </c>
      <c r="J8" s="368">
        <v>0.03</v>
      </c>
      <c r="K8" s="123">
        <f>IF(O9,(D8-J8)/E8,"")</f>
        <v>1.0970675500179223</v>
      </c>
      <c r="L8" s="442">
        <f>IF(O9,IF(2*_xlfn.NORM.DIST(-ABS(K8),0,1,TRUE)&gt;=0.001,2*_xlfn.NORM.DIST(-ABS(K8),0,1,TRUE),"&lt;0.001"),"")</f>
        <v>0.27261186420489569</v>
      </c>
      <c r="M8" s="347"/>
      <c r="N8" s="177">
        <f>B9-B8</f>
        <v>430</v>
      </c>
      <c r="O8" s="178" t="b">
        <f>AND(B8&gt;0,B9&gt;=B8,INT(B8)=B8,INT(B9)=B9)</f>
        <v>1</v>
      </c>
      <c r="P8" s="182"/>
    </row>
    <row r="9" spans="1:16" ht="12.75" customHeight="1" x14ac:dyDescent="0.2">
      <c r="A9" s="215" t="s">
        <v>73</v>
      </c>
      <c r="B9" s="243">
        <v>448</v>
      </c>
      <c r="C9" s="342" t="s">
        <v>70</v>
      </c>
      <c r="D9" s="336">
        <f>IF(O8,D8/(1-D8),"")</f>
        <v>4.1860465116279069E-2</v>
      </c>
      <c r="E9" s="337"/>
      <c r="F9" s="338">
        <f>IF(O8,EXP(F10),"")</f>
        <v>2.6122453965615033E-2</v>
      </c>
      <c r="G9" s="338">
        <f>IF(O8,EXP(G10),"")</f>
        <v>6.7080165671179526E-2</v>
      </c>
      <c r="H9" s="336">
        <f>IF(O8,H8/(1-H8),"")</f>
        <v>2.4572593941354599E-2</v>
      </c>
      <c r="I9" s="339">
        <f>IF(O8,I8/(1-I8),"")</f>
        <v>6.6960015458682687E-2</v>
      </c>
      <c r="J9" s="362">
        <v>0.05</v>
      </c>
      <c r="K9" s="384"/>
      <c r="L9" s="442">
        <f>IF(O10,IF(2*_xlfn.NORM.DIST(-ABS(K10),0,1,TRUE)&gt;=0.001,2*_xlfn.NORM.DIST(-ABS(K10),0,1,TRUE),"&lt;0.001"),"")</f>
        <v>0.46018753230771237</v>
      </c>
      <c r="M9" s="347"/>
      <c r="N9" s="177"/>
      <c r="O9" s="176" t="b">
        <f>AND(O8,NOT(ISBLANK(J8)))</f>
        <v>1</v>
      </c>
      <c r="P9" s="182"/>
    </row>
    <row r="10" spans="1:16" ht="12.75" customHeight="1" x14ac:dyDescent="0.2">
      <c r="A10" s="26"/>
      <c r="B10" s="26"/>
      <c r="C10" s="343" t="s">
        <v>71</v>
      </c>
      <c r="D10" s="340">
        <f>IF(O8,LN(D9),"")</f>
        <v>-3.1734134507914433</v>
      </c>
      <c r="E10" s="340">
        <f>IF(O8,SQRT(1/B8+1/N8),"")</f>
        <v>0.24058498903901795</v>
      </c>
      <c r="F10" s="340">
        <f>IF(O8,D10-1.96*E10,"")</f>
        <v>-3.6449600293079185</v>
      </c>
      <c r="G10" s="340">
        <f>IF(O8,D10+1.96*E10,"")</f>
        <v>-2.7018668722749681</v>
      </c>
      <c r="H10" s="341"/>
      <c r="I10" s="341"/>
      <c r="J10" s="383"/>
      <c r="K10" s="385">
        <f>IF(O10,(D10-LN(J9))/E10,"")</f>
        <v>-0.73853808563524392</v>
      </c>
      <c r="L10" s="19"/>
      <c r="M10" s="175"/>
      <c r="N10" s="175"/>
      <c r="O10" s="175" t="b">
        <f>AND(O8,NOT(ISBLANK(J9)))</f>
        <v>1</v>
      </c>
      <c r="P10" s="182"/>
    </row>
    <row r="11" spans="1:16" ht="12.7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19"/>
      <c r="K11" s="19"/>
      <c r="L11" s="19"/>
      <c r="M11" s="19"/>
      <c r="N11" s="19"/>
      <c r="O11" s="19"/>
    </row>
    <row r="12" spans="1:16" ht="12.75" customHeight="1" x14ac:dyDescent="0.2">
      <c r="A12" s="26"/>
      <c r="B12" s="26"/>
      <c r="C12" s="26"/>
      <c r="D12" s="675" t="s">
        <v>174</v>
      </c>
      <c r="E12" s="677"/>
      <c r="F12" s="675" t="s">
        <v>172</v>
      </c>
      <c r="G12" s="676"/>
      <c r="H12" s="676"/>
      <c r="I12" s="677"/>
      <c r="J12" s="675" t="s">
        <v>185</v>
      </c>
      <c r="K12" s="676"/>
      <c r="L12" s="677"/>
      <c r="M12" s="179"/>
      <c r="N12" s="175"/>
      <c r="O12" s="181"/>
    </row>
    <row r="13" spans="1:16" ht="12.75" customHeight="1" x14ac:dyDescent="0.2">
      <c r="A13" s="26"/>
      <c r="B13" s="251"/>
      <c r="C13" s="251"/>
      <c r="D13" s="433" t="s">
        <v>74</v>
      </c>
      <c r="E13" s="80" t="s">
        <v>2</v>
      </c>
      <c r="F13" s="678" t="s">
        <v>54</v>
      </c>
      <c r="G13" s="678"/>
      <c r="H13" s="679" t="s">
        <v>52</v>
      </c>
      <c r="I13" s="680"/>
      <c r="J13" s="442" t="s">
        <v>143</v>
      </c>
      <c r="K13" s="442" t="s">
        <v>32</v>
      </c>
      <c r="L13" s="442" t="s">
        <v>33</v>
      </c>
      <c r="M13" s="179"/>
      <c r="N13" s="176" t="s">
        <v>55</v>
      </c>
      <c r="O13" s="176" t="s">
        <v>175</v>
      </c>
    </row>
    <row r="14" spans="1:16" ht="12.75" customHeight="1" x14ac:dyDescent="0.2">
      <c r="A14" s="209" t="s">
        <v>72</v>
      </c>
      <c r="B14" s="242"/>
      <c r="C14" s="342" t="s">
        <v>69</v>
      </c>
      <c r="D14" s="332" t="str">
        <f>IF(O14,B14/B15,"")</f>
        <v/>
      </c>
      <c r="E14" s="333" t="str">
        <f>IF(O14,SQRT(D14*(1-D14)/B15),"")</f>
        <v/>
      </c>
      <c r="F14" s="334" t="str">
        <f>IF(O14,D14-1.96*E14,"")</f>
        <v/>
      </c>
      <c r="G14" s="334" t="str">
        <f>IF(O14,D14+1.96*E14,"")</f>
        <v/>
      </c>
      <c r="H14" s="332" t="str">
        <f>IF(O14,IF(B14=0,0,B14/(B14+(B15-B14+1)*FINV(0.025,2*N14+2,2*B14))),"")</f>
        <v/>
      </c>
      <c r="I14" s="335" t="str">
        <f>IF(O14,IF(B14=B15,1,(B14+1)/(B14+1+N14/FINV(0.025,2*B14+2,2*N14))),"")</f>
        <v/>
      </c>
      <c r="J14" s="368"/>
      <c r="K14" s="123" t="str">
        <f>IF(O15,(D14-J14)/E14,"")</f>
        <v/>
      </c>
      <c r="L14" s="442" t="str">
        <f>IF(O15,IF(2*_xlfn.NORM.DIST(-ABS(K14),0,1,TRUE)&gt;=0.001,2*_xlfn.NORM.DIST(-ABS(K14),0,1,TRUE),"&lt;0.001"),"")</f>
        <v/>
      </c>
      <c r="M14" s="347"/>
      <c r="N14" s="177">
        <f>B15-B14</f>
        <v>0</v>
      </c>
      <c r="O14" s="178" t="b">
        <f>AND(B14&gt;0,B15&gt;=B14,INT(B14)=B14,INT(B15)=B15)</f>
        <v>0</v>
      </c>
    </row>
    <row r="15" spans="1:16" ht="12.75" customHeight="1" x14ac:dyDescent="0.2">
      <c r="A15" s="215" t="s">
        <v>73</v>
      </c>
      <c r="B15" s="243"/>
      <c r="C15" s="342" t="s">
        <v>70</v>
      </c>
      <c r="D15" s="336" t="str">
        <f>IF(O14,D14/(1-D14),"")</f>
        <v/>
      </c>
      <c r="E15" s="337"/>
      <c r="F15" s="338" t="str">
        <f>IF(O14,EXP(F16),"")</f>
        <v/>
      </c>
      <c r="G15" s="338" t="str">
        <f>IF(O14,EXP(G16),"")</f>
        <v/>
      </c>
      <c r="H15" s="336" t="str">
        <f>IF(O14,H14/(1-H14),"")</f>
        <v/>
      </c>
      <c r="I15" s="339" t="str">
        <f>IF(O14,I14/(1-I14),"")</f>
        <v/>
      </c>
      <c r="J15" s="362"/>
      <c r="K15" s="384"/>
      <c r="L15" s="442" t="str">
        <f>IF(O16,IF(2*_xlfn.NORM.DIST(-ABS(K16),0,1,TRUE)&gt;=0.001,2*_xlfn.NORM.DIST(-ABS(K16),0,1,TRUE),"&lt;0.001"),"")</f>
        <v/>
      </c>
      <c r="M15" s="347"/>
      <c r="N15" s="177"/>
      <c r="O15" s="176" t="b">
        <f>AND(O14,NOT(ISBLANK(J14)))</f>
        <v>0</v>
      </c>
    </row>
    <row r="16" spans="1:16" ht="12.75" customHeight="1" x14ac:dyDescent="0.2">
      <c r="A16" s="26"/>
      <c r="B16" s="26"/>
      <c r="C16" s="343" t="s">
        <v>71</v>
      </c>
      <c r="D16" s="340" t="str">
        <f>IF(O14,LN(D15),"")</f>
        <v/>
      </c>
      <c r="E16" s="340" t="str">
        <f>IF(O14,SQRT(1/B14+1/N14),"")</f>
        <v/>
      </c>
      <c r="F16" s="340" t="str">
        <f>IF(O14,D16-1.96*E16,"")</f>
        <v/>
      </c>
      <c r="G16" s="340" t="str">
        <f>IF(O14,D16+1.96*E16,"")</f>
        <v/>
      </c>
      <c r="H16" s="341"/>
      <c r="I16" s="341"/>
      <c r="J16" s="383"/>
      <c r="K16" s="385" t="str">
        <f>IF(O16,(D16-LN(J15))/E16,"")</f>
        <v/>
      </c>
      <c r="L16" s="19"/>
      <c r="M16" s="175"/>
      <c r="N16" s="175"/>
      <c r="O16" s="175" t="b">
        <f>AND(O14,NOT(ISBLANK(J15)))</f>
        <v>0</v>
      </c>
    </row>
    <row r="17" spans="1:15" ht="12.75" customHeight="1" x14ac:dyDescent="0.2">
      <c r="A17" s="96"/>
      <c r="B17" s="434"/>
      <c r="C17" s="434"/>
      <c r="D17" s="434"/>
      <c r="E17" s="434"/>
      <c r="F17" s="681"/>
      <c r="G17" s="681"/>
      <c r="H17" s="681"/>
      <c r="I17" s="681"/>
      <c r="J17" s="417"/>
      <c r="K17" s="96"/>
      <c r="L17" s="96"/>
      <c r="M17" s="96"/>
      <c r="N17" s="101"/>
      <c r="O17" s="101"/>
    </row>
    <row r="18" spans="1:15" ht="12.75" customHeight="1" x14ac:dyDescent="0.2">
      <c r="A18" s="26"/>
      <c r="B18" s="26"/>
      <c r="C18" s="26"/>
      <c r="D18" s="675" t="s">
        <v>174</v>
      </c>
      <c r="E18" s="677"/>
      <c r="F18" s="675" t="s">
        <v>172</v>
      </c>
      <c r="G18" s="676"/>
      <c r="H18" s="676"/>
      <c r="I18" s="677"/>
      <c r="J18" s="675" t="s">
        <v>185</v>
      </c>
      <c r="K18" s="676"/>
      <c r="L18" s="677"/>
      <c r="M18" s="179"/>
      <c r="N18" s="175"/>
      <c r="O18" s="181"/>
    </row>
    <row r="19" spans="1:15" ht="12.75" customHeight="1" x14ac:dyDescent="0.2">
      <c r="A19" s="26"/>
      <c r="B19" s="251"/>
      <c r="C19" s="251"/>
      <c r="D19" s="433" t="s">
        <v>74</v>
      </c>
      <c r="E19" s="80" t="s">
        <v>2</v>
      </c>
      <c r="F19" s="678" t="s">
        <v>54</v>
      </c>
      <c r="G19" s="678"/>
      <c r="H19" s="679" t="s">
        <v>52</v>
      </c>
      <c r="I19" s="680"/>
      <c r="J19" s="442" t="s">
        <v>143</v>
      </c>
      <c r="K19" s="442" t="s">
        <v>32</v>
      </c>
      <c r="L19" s="442" t="s">
        <v>33</v>
      </c>
      <c r="M19" s="179"/>
      <c r="N19" s="176" t="s">
        <v>55</v>
      </c>
      <c r="O19" s="176" t="s">
        <v>175</v>
      </c>
    </row>
    <row r="20" spans="1:15" ht="12.75" customHeight="1" x14ac:dyDescent="0.2">
      <c r="A20" s="209" t="s">
        <v>72</v>
      </c>
      <c r="B20" s="242"/>
      <c r="C20" s="342" t="s">
        <v>69</v>
      </c>
      <c r="D20" s="332" t="str">
        <f>IF(O20,B20/B21,"")</f>
        <v/>
      </c>
      <c r="E20" s="333" t="str">
        <f>IF(O20,SQRT(D20*(1-D20)/B21),"")</f>
        <v/>
      </c>
      <c r="F20" s="334" t="str">
        <f>IF(O20,D20-1.96*E20,"")</f>
        <v/>
      </c>
      <c r="G20" s="334" t="str">
        <f>IF(O20,D20+1.96*E20,"")</f>
        <v/>
      </c>
      <c r="H20" s="332" t="str">
        <f>IF(O20,IF(B20=0,0,B20/(B20+(B21-B20+1)*FINV(0.025,2*N20+2,2*B20))),"")</f>
        <v/>
      </c>
      <c r="I20" s="335" t="str">
        <f>IF(O20,IF(B20=B21,1,(B20+1)/(B20+1+N20/FINV(0.025,2*B20+2,2*N20))),"")</f>
        <v/>
      </c>
      <c r="J20" s="368"/>
      <c r="K20" s="123" t="str">
        <f>IF(O21,(D20-J20)/E20,"")</f>
        <v/>
      </c>
      <c r="L20" s="442" t="str">
        <f>IF(O21,IF(2*_xlfn.NORM.DIST(-ABS(K20),0,1,TRUE)&gt;=0.001,2*_xlfn.NORM.DIST(-ABS(K20),0,1,TRUE),"&lt;0.001"),"")</f>
        <v/>
      </c>
      <c r="M20" s="347"/>
      <c r="N20" s="177">
        <f>B21-B20</f>
        <v>0</v>
      </c>
      <c r="O20" s="178" t="b">
        <f>AND(B20&gt;0,B21&gt;=B20,INT(B20)=B20,INT(B21)=B21)</f>
        <v>0</v>
      </c>
    </row>
    <row r="21" spans="1:15" ht="12.75" customHeight="1" x14ac:dyDescent="0.2">
      <c r="A21" s="215" t="s">
        <v>73</v>
      </c>
      <c r="B21" s="243"/>
      <c r="C21" s="342" t="s">
        <v>70</v>
      </c>
      <c r="D21" s="336" t="str">
        <f>IF(O20,D20/(1-D20),"")</f>
        <v/>
      </c>
      <c r="E21" s="337"/>
      <c r="F21" s="338" t="str">
        <f>IF(O20,EXP(F22),"")</f>
        <v/>
      </c>
      <c r="G21" s="338" t="str">
        <f>IF(O20,EXP(G22),"")</f>
        <v/>
      </c>
      <c r="H21" s="336" t="str">
        <f>IF(O20,H20/(1-H20),"")</f>
        <v/>
      </c>
      <c r="I21" s="339" t="str">
        <f>IF(O20,I20/(1-I20),"")</f>
        <v/>
      </c>
      <c r="J21" s="362"/>
      <c r="K21" s="384"/>
      <c r="L21" s="442" t="str">
        <f>IF(O22,IF(2*_xlfn.NORM.DIST(-ABS(K22),0,1,TRUE)&gt;=0.001,2*_xlfn.NORM.DIST(-ABS(K22),0,1,TRUE),"&lt;0.001"),"")</f>
        <v/>
      </c>
      <c r="M21" s="347"/>
      <c r="N21" s="177"/>
      <c r="O21" s="176" t="b">
        <f>AND(O20,NOT(ISBLANK(J20)))</f>
        <v>0</v>
      </c>
    </row>
    <row r="22" spans="1:15" ht="12.75" customHeight="1" x14ac:dyDescent="0.2">
      <c r="A22" s="26"/>
      <c r="B22" s="26"/>
      <c r="C22" s="343" t="s">
        <v>71</v>
      </c>
      <c r="D22" s="340" t="str">
        <f>IF(O20,LN(D21),"")</f>
        <v/>
      </c>
      <c r="E22" s="340" t="str">
        <f>IF(O20,SQRT(1/B20+1/N20),"")</f>
        <v/>
      </c>
      <c r="F22" s="340" t="str">
        <f>IF(O20,D22-1.96*E22,"")</f>
        <v/>
      </c>
      <c r="G22" s="340" t="str">
        <f>IF(O20,D22+1.96*E22,"")</f>
        <v/>
      </c>
      <c r="H22" s="341"/>
      <c r="I22" s="341"/>
      <c r="J22" s="383"/>
      <c r="K22" s="385" t="str">
        <f>IF(O22,(D22-LN(J21))/E22,"")</f>
        <v/>
      </c>
      <c r="L22" s="19"/>
      <c r="M22" s="175"/>
      <c r="N22" s="175"/>
      <c r="O22" s="175" t="b">
        <f>AND(O20,NOT(ISBLANK(J21)))</f>
        <v>0</v>
      </c>
    </row>
    <row r="23" spans="1:15" ht="12.75" customHeight="1" x14ac:dyDescent="0.2">
      <c r="A23" s="96"/>
      <c r="B23" s="348"/>
      <c r="C23" s="342"/>
      <c r="D23" s="349"/>
      <c r="E23" s="349"/>
      <c r="F23" s="349"/>
      <c r="G23" s="349"/>
      <c r="H23" s="349"/>
      <c r="I23" s="349"/>
      <c r="J23" s="417"/>
      <c r="K23" s="96"/>
      <c r="L23" s="96"/>
      <c r="M23" s="350"/>
      <c r="N23" s="351"/>
      <c r="O23" s="352"/>
    </row>
    <row r="24" spans="1:15" ht="12.75" customHeight="1" x14ac:dyDescent="0.2">
      <c r="A24" s="26"/>
      <c r="B24" s="26"/>
      <c r="C24" s="26"/>
      <c r="D24" s="675" t="s">
        <v>174</v>
      </c>
      <c r="E24" s="677"/>
      <c r="F24" s="675" t="s">
        <v>172</v>
      </c>
      <c r="G24" s="676"/>
      <c r="H24" s="676"/>
      <c r="I24" s="677"/>
      <c r="J24" s="675" t="s">
        <v>185</v>
      </c>
      <c r="K24" s="676"/>
      <c r="L24" s="677"/>
      <c r="M24" s="179"/>
      <c r="N24" s="175"/>
      <c r="O24" s="181"/>
    </row>
    <row r="25" spans="1:15" ht="12.75" customHeight="1" x14ac:dyDescent="0.2">
      <c r="A25" s="26"/>
      <c r="B25" s="251"/>
      <c r="C25" s="251"/>
      <c r="D25" s="433" t="s">
        <v>74</v>
      </c>
      <c r="E25" s="80" t="s">
        <v>2</v>
      </c>
      <c r="F25" s="678" t="s">
        <v>54</v>
      </c>
      <c r="G25" s="678"/>
      <c r="H25" s="679" t="s">
        <v>52</v>
      </c>
      <c r="I25" s="680"/>
      <c r="J25" s="442" t="s">
        <v>143</v>
      </c>
      <c r="K25" s="442" t="s">
        <v>32</v>
      </c>
      <c r="L25" s="442" t="s">
        <v>33</v>
      </c>
      <c r="M25" s="179"/>
      <c r="N25" s="176" t="s">
        <v>55</v>
      </c>
      <c r="O25" s="176" t="s">
        <v>175</v>
      </c>
    </row>
    <row r="26" spans="1:15" ht="12.75" customHeight="1" x14ac:dyDescent="0.2">
      <c r="A26" s="209" t="s">
        <v>72</v>
      </c>
      <c r="B26" s="242"/>
      <c r="C26" s="342" t="s">
        <v>69</v>
      </c>
      <c r="D26" s="332" t="str">
        <f>IF(O26,B26/B27,"")</f>
        <v/>
      </c>
      <c r="E26" s="333" t="str">
        <f>IF(O26,SQRT(D26*(1-D26)/B27),"")</f>
        <v/>
      </c>
      <c r="F26" s="334" t="str">
        <f>IF(O26,D26-1.96*E26,"")</f>
        <v/>
      </c>
      <c r="G26" s="334" t="str">
        <f>IF(O26,D26+1.96*E26,"")</f>
        <v/>
      </c>
      <c r="H26" s="332" t="str">
        <f>IF(O26,IF(B26=0,0,B26/(B26+(B27-B26+1)*FINV(0.025,2*N26+2,2*B26))),"")</f>
        <v/>
      </c>
      <c r="I26" s="335" t="str">
        <f>IF(O26,IF(B26=B27,1,(B26+1)/(B26+1+N26/FINV(0.025,2*B26+2,2*N26))),"")</f>
        <v/>
      </c>
      <c r="J26" s="368"/>
      <c r="K26" s="123" t="str">
        <f>IF(O27,(D26-J26)/E26,"")</f>
        <v/>
      </c>
      <c r="L26" s="442" t="str">
        <f>IF(O27,IF(2*_xlfn.NORM.DIST(-ABS(K26),0,1,TRUE)&gt;=0.001,2*_xlfn.NORM.DIST(-ABS(K26),0,1,TRUE),"&lt;0.001"),"")</f>
        <v/>
      </c>
      <c r="M26" s="347"/>
      <c r="N26" s="177">
        <f>B27-B26</f>
        <v>0</v>
      </c>
      <c r="O26" s="178" t="b">
        <f>AND(B26&gt;0,B27&gt;=B26,INT(B26)=B26,INT(B27)=B27)</f>
        <v>0</v>
      </c>
    </row>
    <row r="27" spans="1:15" ht="12.75" customHeight="1" x14ac:dyDescent="0.2">
      <c r="A27" s="215" t="s">
        <v>73</v>
      </c>
      <c r="B27" s="243"/>
      <c r="C27" s="342" t="s">
        <v>70</v>
      </c>
      <c r="D27" s="336" t="str">
        <f>IF(O26,D26/(1-D26),"")</f>
        <v/>
      </c>
      <c r="E27" s="337"/>
      <c r="F27" s="338" t="str">
        <f>IF(O26,EXP(F28),"")</f>
        <v/>
      </c>
      <c r="G27" s="338" t="str">
        <f>IF(O26,EXP(G28),"")</f>
        <v/>
      </c>
      <c r="H27" s="336" t="str">
        <f>IF(O26,H26/(1-H26),"")</f>
        <v/>
      </c>
      <c r="I27" s="339" t="str">
        <f>IF(O26,I26/(1-I26),"")</f>
        <v/>
      </c>
      <c r="J27" s="362"/>
      <c r="K27" s="384"/>
      <c r="L27" s="442" t="str">
        <f>IF(O28,IF(2*_xlfn.NORM.DIST(-ABS(K28),0,1,TRUE)&gt;=0.001,2*_xlfn.NORM.DIST(-ABS(K28),0,1,TRUE),"&lt;0.001"),"")</f>
        <v/>
      </c>
      <c r="M27" s="347"/>
      <c r="N27" s="177"/>
      <c r="O27" s="176" t="b">
        <f>AND(O26,NOT(ISBLANK(J26)))</f>
        <v>0</v>
      </c>
    </row>
    <row r="28" spans="1:15" ht="12.75" customHeight="1" x14ac:dyDescent="0.2">
      <c r="A28" s="26"/>
      <c r="B28" s="26"/>
      <c r="C28" s="343" t="s">
        <v>71</v>
      </c>
      <c r="D28" s="340" t="str">
        <f>IF(O26,LN(D27),"")</f>
        <v/>
      </c>
      <c r="E28" s="340" t="str">
        <f>IF(O26,SQRT(1/B26+1/N26),"")</f>
        <v/>
      </c>
      <c r="F28" s="340" t="str">
        <f>IF(O26,D28-1.96*E28,"")</f>
        <v/>
      </c>
      <c r="G28" s="340" t="str">
        <f>IF(O26,D28+1.96*E28,"")</f>
        <v/>
      </c>
      <c r="H28" s="341"/>
      <c r="I28" s="341"/>
      <c r="J28" s="383"/>
      <c r="K28" s="385" t="str">
        <f>IF(O28,(D28-LN(J27))/E28,"")</f>
        <v/>
      </c>
      <c r="L28" s="19"/>
      <c r="M28" s="175"/>
      <c r="N28" s="175"/>
      <c r="O28" s="175" t="b">
        <f>AND(O26,NOT(ISBLANK(J27)))</f>
        <v>0</v>
      </c>
    </row>
    <row r="29" spans="1:15" ht="12.75" customHeight="1" x14ac:dyDescent="0.2">
      <c r="A29" s="96"/>
      <c r="B29" s="348"/>
      <c r="C29" s="342"/>
      <c r="D29" s="349"/>
      <c r="E29" s="349"/>
      <c r="F29" s="349"/>
      <c r="G29" s="349"/>
      <c r="H29" s="349"/>
      <c r="I29" s="349"/>
      <c r="J29" s="417"/>
      <c r="K29" s="96"/>
      <c r="L29" s="96"/>
      <c r="M29" s="350"/>
      <c r="N29" s="351"/>
      <c r="O29" s="101"/>
    </row>
    <row r="30" spans="1:15" ht="12.75" customHeight="1" x14ac:dyDescent="0.2">
      <c r="A30" s="26"/>
      <c r="B30" s="26"/>
      <c r="C30" s="26"/>
      <c r="D30" s="675" t="s">
        <v>174</v>
      </c>
      <c r="E30" s="677"/>
      <c r="F30" s="675" t="s">
        <v>172</v>
      </c>
      <c r="G30" s="676"/>
      <c r="H30" s="676"/>
      <c r="I30" s="677"/>
      <c r="J30" s="675" t="s">
        <v>185</v>
      </c>
      <c r="K30" s="676"/>
      <c r="L30" s="677"/>
      <c r="M30" s="179"/>
      <c r="N30" s="175"/>
      <c r="O30" s="181"/>
    </row>
    <row r="31" spans="1:15" ht="12.75" customHeight="1" x14ac:dyDescent="0.2">
      <c r="A31" s="26"/>
      <c r="B31" s="251"/>
      <c r="C31" s="251"/>
      <c r="D31" s="433" t="s">
        <v>74</v>
      </c>
      <c r="E31" s="80" t="s">
        <v>2</v>
      </c>
      <c r="F31" s="678" t="s">
        <v>54</v>
      </c>
      <c r="G31" s="678"/>
      <c r="H31" s="679" t="s">
        <v>52</v>
      </c>
      <c r="I31" s="680"/>
      <c r="J31" s="442" t="s">
        <v>143</v>
      </c>
      <c r="K31" s="442" t="s">
        <v>32</v>
      </c>
      <c r="L31" s="442" t="s">
        <v>33</v>
      </c>
      <c r="M31" s="179"/>
      <c r="N31" s="176" t="s">
        <v>55</v>
      </c>
      <c r="O31" s="176" t="s">
        <v>175</v>
      </c>
    </row>
    <row r="32" spans="1:15" ht="12.75" customHeight="1" x14ac:dyDescent="0.2">
      <c r="A32" s="209" t="s">
        <v>72</v>
      </c>
      <c r="B32" s="242"/>
      <c r="C32" s="342" t="s">
        <v>69</v>
      </c>
      <c r="D32" s="332" t="e">
        <f>IF(O32,B32/B33,"")</f>
        <v>#VALUE!</v>
      </c>
      <c r="E32" s="333" t="e">
        <f>IF(O32,SQRT(D32*(1-D32)/B33),"")</f>
        <v>#VALUE!</v>
      </c>
      <c r="F32" s="334" t="e">
        <f>IF(O32,D32-1.96*E32,"")</f>
        <v>#VALUE!</v>
      </c>
      <c r="G32" s="334" t="e">
        <f>IF(O32,D32+1.96*E32,"")</f>
        <v>#VALUE!</v>
      </c>
      <c r="H32" s="332" t="e">
        <f>IF(O32,IF(B32=0,0,B32/(B32+(B33-B32+1)*FINV(0.025,2*N32+2,2*B32))),"")</f>
        <v>#VALUE!</v>
      </c>
      <c r="I32" s="335" t="e">
        <f>IF(O32,IF(B32=B33,1,(B32+1)/(B32+1+N32/FINV(0.025,2*B32+2,2*N32))),"")</f>
        <v>#VALUE!</v>
      </c>
      <c r="J32" s="368"/>
      <c r="K32" s="123" t="e">
        <f>IF(O33,(D32-J32)/E32,"")</f>
        <v>#VALUE!</v>
      </c>
      <c r="L32" s="442" t="e">
        <f>IF(O33,IF(2*_xlfn.NORM.DIST(-ABS(K32),0,1,TRUE)&gt;=0.001,2*_xlfn.NORM.DIST(-ABS(K32),0,1,TRUE),"&lt;0.001"),"")</f>
        <v>#VALUE!</v>
      </c>
      <c r="M32" s="347"/>
      <c r="N32" s="177" t="e">
        <f>B33-B32</f>
        <v>#VALUE!</v>
      </c>
      <c r="O32" s="178" t="e">
        <f>AND(B32&gt;0,B33&gt;=B32,INT(B32)=B32,INT(B33)=B33)</f>
        <v>#VALUE!</v>
      </c>
    </row>
    <row r="33" spans="1:15" ht="12.75" customHeight="1" x14ac:dyDescent="0.2">
      <c r="A33" s="215" t="s">
        <v>73</v>
      </c>
      <c r="B33" s="243" t="s">
        <v>338</v>
      </c>
      <c r="C33" s="342" t="s">
        <v>70</v>
      </c>
      <c r="D33" s="336" t="e">
        <f>IF(O32,D32/(1-D32),"")</f>
        <v>#VALUE!</v>
      </c>
      <c r="E33" s="337"/>
      <c r="F33" s="338" t="e">
        <f>IF(O32,EXP(F34),"")</f>
        <v>#VALUE!</v>
      </c>
      <c r="G33" s="338" t="e">
        <f>IF(O32,EXP(G34),"")</f>
        <v>#VALUE!</v>
      </c>
      <c r="H33" s="336" t="e">
        <f>IF(O32,H32/(1-H32),"")</f>
        <v>#VALUE!</v>
      </c>
      <c r="I33" s="339" t="e">
        <f>IF(O32,I32/(1-I32),"")</f>
        <v>#VALUE!</v>
      </c>
      <c r="J33" s="362"/>
      <c r="K33" s="384"/>
      <c r="L33" s="442" t="e">
        <f>IF(O34,IF(2*_xlfn.NORM.DIST(-ABS(K34),0,1,TRUE)&gt;=0.001,2*_xlfn.NORM.DIST(-ABS(K34),0,1,TRUE),"&lt;0.001"),"")</f>
        <v>#VALUE!</v>
      </c>
      <c r="M33" s="347"/>
      <c r="N33" s="177"/>
      <c r="O33" s="176" t="e">
        <f>AND(O32,NOT(ISBLANK(J32)))</f>
        <v>#VALUE!</v>
      </c>
    </row>
    <row r="34" spans="1:15" ht="12.75" customHeight="1" x14ac:dyDescent="0.2">
      <c r="A34" s="26"/>
      <c r="B34" s="26"/>
      <c r="C34" s="343" t="s">
        <v>71</v>
      </c>
      <c r="D34" s="340" t="e">
        <f>IF(O32,LN(D33),"")</f>
        <v>#VALUE!</v>
      </c>
      <c r="E34" s="340" t="e">
        <f>IF(O32,SQRT(1/B32+1/N32),"")</f>
        <v>#VALUE!</v>
      </c>
      <c r="F34" s="340" t="e">
        <f>IF(O32,D34-1.96*E34,"")</f>
        <v>#VALUE!</v>
      </c>
      <c r="G34" s="340" t="e">
        <f>IF(O32,D34+1.96*E34,"")</f>
        <v>#VALUE!</v>
      </c>
      <c r="H34" s="341"/>
      <c r="I34" s="341"/>
      <c r="J34" s="383"/>
      <c r="K34" s="385" t="e">
        <f>IF(O34,(D34-LN(J33))/E34,"")</f>
        <v>#VALUE!</v>
      </c>
      <c r="L34" s="19"/>
      <c r="M34" s="175"/>
      <c r="N34" s="175"/>
      <c r="O34" s="175" t="e">
        <f>AND(O32,NOT(ISBLANK(J33)))</f>
        <v>#VALUE!</v>
      </c>
    </row>
    <row r="35" spans="1:15" ht="12.75" customHeight="1" x14ac:dyDescent="0.2">
      <c r="A35" s="96"/>
      <c r="B35" s="96"/>
      <c r="C35" s="343"/>
      <c r="D35" s="353"/>
      <c r="E35" s="353"/>
      <c r="F35" s="353"/>
      <c r="G35" s="353"/>
      <c r="H35" s="354"/>
      <c r="I35" s="354"/>
      <c r="J35" s="96"/>
      <c r="K35" s="96"/>
      <c r="L35" s="96"/>
      <c r="M35" s="96"/>
      <c r="N35" s="96"/>
      <c r="O35" s="96"/>
    </row>
    <row r="36" spans="1:15" ht="12.75" customHeight="1" x14ac:dyDescent="0.2">
      <c r="A36" s="26"/>
      <c r="B36" s="26"/>
      <c r="C36" s="26"/>
      <c r="D36" s="675" t="s">
        <v>174</v>
      </c>
      <c r="E36" s="677"/>
      <c r="F36" s="675" t="s">
        <v>172</v>
      </c>
      <c r="G36" s="676"/>
      <c r="H36" s="676"/>
      <c r="I36" s="677"/>
      <c r="J36" s="675" t="s">
        <v>185</v>
      </c>
      <c r="K36" s="676"/>
      <c r="L36" s="677"/>
      <c r="M36" s="179"/>
      <c r="N36" s="175"/>
      <c r="O36" s="181"/>
    </row>
    <row r="37" spans="1:15" ht="12.75" customHeight="1" x14ac:dyDescent="0.2">
      <c r="A37" s="26"/>
      <c r="B37" s="251"/>
      <c r="C37" s="251"/>
      <c r="D37" s="433" t="s">
        <v>74</v>
      </c>
      <c r="E37" s="80" t="s">
        <v>2</v>
      </c>
      <c r="F37" s="678" t="s">
        <v>54</v>
      </c>
      <c r="G37" s="678"/>
      <c r="H37" s="679" t="s">
        <v>52</v>
      </c>
      <c r="I37" s="680"/>
      <c r="J37" s="442" t="s">
        <v>143</v>
      </c>
      <c r="K37" s="442" t="s">
        <v>32</v>
      </c>
      <c r="L37" s="442" t="s">
        <v>33</v>
      </c>
      <c r="M37" s="179"/>
      <c r="N37" s="176" t="s">
        <v>55</v>
      </c>
      <c r="O37" s="176" t="s">
        <v>175</v>
      </c>
    </row>
    <row r="38" spans="1:15" ht="12.75" customHeight="1" x14ac:dyDescent="0.2">
      <c r="A38" s="209" t="s">
        <v>72</v>
      </c>
      <c r="B38" s="242"/>
      <c r="C38" s="342" t="s">
        <v>69</v>
      </c>
      <c r="D38" s="332" t="str">
        <f>IF(O38,B38/B39,"")</f>
        <v/>
      </c>
      <c r="E38" s="333" t="str">
        <f>IF(O38,SQRT(D38*(1-D38)/B39),"")</f>
        <v/>
      </c>
      <c r="F38" s="334" t="str">
        <f>IF(O38,D38-1.96*E38,"")</f>
        <v/>
      </c>
      <c r="G38" s="334" t="str">
        <f>IF(O38,D38+1.96*E38,"")</f>
        <v/>
      </c>
      <c r="H38" s="332" t="str">
        <f>IF(O38,IF(B38=0,0,B38/(B38+(B39-B38+1)*FINV(0.025,2*N38+2,2*B38))),"")</f>
        <v/>
      </c>
      <c r="I38" s="335" t="str">
        <f>IF(O38,IF(B38=B39,1,(B38+1)/(B38+1+N38/FINV(0.025,2*B38+2,2*N38))),"")</f>
        <v/>
      </c>
      <c r="J38" s="368"/>
      <c r="K38" s="123" t="str">
        <f>IF(O39,(D38-J38)/E38,"")</f>
        <v/>
      </c>
      <c r="L38" s="442" t="str">
        <f>IF(O39,IF(2*_xlfn.NORM.DIST(-ABS(K38),0,1,TRUE)&gt;=0.001,2*_xlfn.NORM.DIST(-ABS(K38),0,1,TRUE),"&lt;0.001"),"")</f>
        <v/>
      </c>
      <c r="M38" s="347"/>
      <c r="N38" s="177">
        <f>B39-B38</f>
        <v>0</v>
      </c>
      <c r="O38" s="178" t="b">
        <f>AND(B38&gt;0,B39&gt;=B38,INT(B38)=B38,INT(B39)=B39)</f>
        <v>0</v>
      </c>
    </row>
    <row r="39" spans="1:15" ht="12.75" customHeight="1" x14ac:dyDescent="0.2">
      <c r="A39" s="215" t="s">
        <v>73</v>
      </c>
      <c r="B39" s="243"/>
      <c r="C39" s="342" t="s">
        <v>70</v>
      </c>
      <c r="D39" s="336" t="str">
        <f>IF(O38,D38/(1-D38),"")</f>
        <v/>
      </c>
      <c r="E39" s="337"/>
      <c r="F39" s="338" t="str">
        <f>IF(O38,EXP(F40),"")</f>
        <v/>
      </c>
      <c r="G39" s="338" t="str">
        <f>IF(O38,EXP(G40),"")</f>
        <v/>
      </c>
      <c r="H39" s="336" t="str">
        <f>IF(O38,H38/(1-H38),"")</f>
        <v/>
      </c>
      <c r="I39" s="339" t="str">
        <f>IF(O38,I38/(1-I38),"")</f>
        <v/>
      </c>
      <c r="J39" s="362"/>
      <c r="K39" s="384"/>
      <c r="L39" s="442" t="str">
        <f>IF(O40,IF(2*_xlfn.NORM.DIST(-ABS(K40),0,1,TRUE)&gt;=0.001,2*_xlfn.NORM.DIST(-ABS(K40),0,1,TRUE),"&lt;0.001"),"")</f>
        <v/>
      </c>
      <c r="M39" s="347"/>
      <c r="N39" s="177"/>
      <c r="O39" s="176" t="b">
        <f>AND(O38,NOT(ISBLANK(J38)))</f>
        <v>0</v>
      </c>
    </row>
    <row r="40" spans="1:15" ht="12.75" customHeight="1" x14ac:dyDescent="0.2">
      <c r="A40" s="26"/>
      <c r="B40" s="26"/>
      <c r="C40" s="343" t="s">
        <v>71</v>
      </c>
      <c r="D40" s="340" t="str">
        <f>IF(O38,LN(D39),"")</f>
        <v/>
      </c>
      <c r="E40" s="340" t="str">
        <f>IF(O38,SQRT(1/B38+1/N38),"")</f>
        <v/>
      </c>
      <c r="F40" s="340" t="str">
        <f>IF(O38,D40-1.96*E40,"")</f>
        <v/>
      </c>
      <c r="G40" s="340" t="str">
        <f>IF(O38,D40+1.96*E40,"")</f>
        <v/>
      </c>
      <c r="H40" s="341"/>
      <c r="I40" s="341"/>
      <c r="J40" s="383"/>
      <c r="K40" s="385" t="str">
        <f>IF(O40,(D40-LN(J39))/E40,"")</f>
        <v/>
      </c>
      <c r="L40" s="19"/>
      <c r="M40" s="175"/>
      <c r="N40" s="175"/>
      <c r="O40" s="175" t="b">
        <f>AND(O38,NOT(ISBLANK(J39)))</f>
        <v>0</v>
      </c>
    </row>
    <row r="41" spans="1:15" ht="12.75" customHeight="1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1:15" ht="12.75" customHeight="1" x14ac:dyDescent="0.2">
      <c r="A42" s="26"/>
      <c r="B42" s="26"/>
      <c r="C42" s="26"/>
      <c r="D42" s="675" t="s">
        <v>174</v>
      </c>
      <c r="E42" s="677"/>
      <c r="F42" s="675" t="s">
        <v>172</v>
      </c>
      <c r="G42" s="676"/>
      <c r="H42" s="676"/>
      <c r="I42" s="677"/>
      <c r="J42" s="675" t="s">
        <v>185</v>
      </c>
      <c r="K42" s="676"/>
      <c r="L42" s="677"/>
      <c r="M42" s="179"/>
      <c r="N42" s="175"/>
      <c r="O42" s="181"/>
    </row>
    <row r="43" spans="1:15" ht="12.75" customHeight="1" x14ac:dyDescent="0.2">
      <c r="A43" s="26"/>
      <c r="B43" s="251"/>
      <c r="C43" s="251"/>
      <c r="D43" s="433" t="s">
        <v>74</v>
      </c>
      <c r="E43" s="80" t="s">
        <v>2</v>
      </c>
      <c r="F43" s="678" t="s">
        <v>54</v>
      </c>
      <c r="G43" s="678"/>
      <c r="H43" s="679" t="s">
        <v>52</v>
      </c>
      <c r="I43" s="680"/>
      <c r="J43" s="442" t="s">
        <v>143</v>
      </c>
      <c r="K43" s="442" t="s">
        <v>32</v>
      </c>
      <c r="L43" s="442" t="s">
        <v>33</v>
      </c>
      <c r="M43" s="179"/>
      <c r="N43" s="176" t="s">
        <v>55</v>
      </c>
      <c r="O43" s="176" t="s">
        <v>175</v>
      </c>
    </row>
    <row r="44" spans="1:15" ht="12.75" customHeight="1" x14ac:dyDescent="0.2">
      <c r="A44" s="209" t="s">
        <v>72</v>
      </c>
      <c r="B44" s="242"/>
      <c r="C44" s="342" t="s">
        <v>69</v>
      </c>
      <c r="D44" s="332" t="str">
        <f>IF(O44,B44/B45,"")</f>
        <v/>
      </c>
      <c r="E44" s="333" t="str">
        <f>IF(O44,SQRT(D44*(1-D44)/B45),"")</f>
        <v/>
      </c>
      <c r="F44" s="334" t="str">
        <f>IF(O44,D44-1.96*E44,"")</f>
        <v/>
      </c>
      <c r="G44" s="334" t="str">
        <f>IF(O44,D44+1.96*E44,"")</f>
        <v/>
      </c>
      <c r="H44" s="332" t="str">
        <f>IF(O44,IF(B44=0,0,B44/(B44+(B45-B44+1)*FINV(0.025,2*N44+2,2*B44))),"")</f>
        <v/>
      </c>
      <c r="I44" s="335" t="str">
        <f>IF(O44,IF(B44=B45,1,(B44+1)/(B44+1+N44/FINV(0.025,2*B44+2,2*N44))),"")</f>
        <v/>
      </c>
      <c r="J44" s="368"/>
      <c r="K44" s="123" t="str">
        <f>IF(O45,(D44-J44)/E44,"")</f>
        <v/>
      </c>
      <c r="L44" s="442" t="str">
        <f>IF(O45,IF(2*_xlfn.NORM.DIST(-ABS(K44),0,1,TRUE)&gt;=0.001,2*_xlfn.NORM.DIST(-ABS(K44),0,1,TRUE),"&lt;0.001"),"")</f>
        <v/>
      </c>
      <c r="M44" s="347"/>
      <c r="N44" s="177">
        <f>B45-B44</f>
        <v>0</v>
      </c>
      <c r="O44" s="178" t="b">
        <f>AND(B44&gt;0,B45&gt;=B44,INT(B44)=B44,INT(B45)=B45)</f>
        <v>0</v>
      </c>
    </row>
    <row r="45" spans="1:15" ht="12.75" customHeight="1" x14ac:dyDescent="0.2">
      <c r="A45" s="215" t="s">
        <v>73</v>
      </c>
      <c r="B45" s="243"/>
      <c r="C45" s="342" t="s">
        <v>70</v>
      </c>
      <c r="D45" s="336" t="str">
        <f>IF(O44,D44/(1-D44),"")</f>
        <v/>
      </c>
      <c r="E45" s="337"/>
      <c r="F45" s="338" t="str">
        <f>IF(O44,EXP(F46),"")</f>
        <v/>
      </c>
      <c r="G45" s="338" t="str">
        <f>IF(O44,EXP(G46),"")</f>
        <v/>
      </c>
      <c r="H45" s="336" t="str">
        <f>IF(O44,H44/(1-H44),"")</f>
        <v/>
      </c>
      <c r="I45" s="339" t="str">
        <f>IF(O44,I44/(1-I44),"")</f>
        <v/>
      </c>
      <c r="J45" s="362"/>
      <c r="K45" s="384"/>
      <c r="L45" s="442" t="str">
        <f>IF(O46,IF(2*_xlfn.NORM.DIST(-ABS(K46),0,1,TRUE)&gt;=0.001,2*_xlfn.NORM.DIST(-ABS(K46),0,1,TRUE),"&lt;0.001"),"")</f>
        <v/>
      </c>
      <c r="M45" s="347"/>
      <c r="N45" s="177"/>
      <c r="O45" s="176" t="b">
        <f>AND(O44,NOT(ISBLANK(J44)))</f>
        <v>0</v>
      </c>
    </row>
    <row r="46" spans="1:15" ht="12.75" customHeight="1" x14ac:dyDescent="0.2">
      <c r="A46" s="26"/>
      <c r="B46" s="26"/>
      <c r="C46" s="343" t="s">
        <v>71</v>
      </c>
      <c r="D46" s="340" t="str">
        <f>IF(O44,LN(D45),"")</f>
        <v/>
      </c>
      <c r="E46" s="340" t="str">
        <f>IF(O44,SQRT(1/B44+1/N44),"")</f>
        <v/>
      </c>
      <c r="F46" s="340" t="str">
        <f>IF(O44,D46-1.96*E46,"")</f>
        <v/>
      </c>
      <c r="G46" s="340" t="str">
        <f>IF(O44,D46+1.96*E46,"")</f>
        <v/>
      </c>
      <c r="H46" s="341"/>
      <c r="I46" s="341"/>
      <c r="J46" s="383"/>
      <c r="K46" s="385" t="str">
        <f>IF(O46,(D46-LN(J45))/E46,"")</f>
        <v/>
      </c>
      <c r="L46" s="19"/>
      <c r="M46" s="175"/>
      <c r="N46" s="175"/>
      <c r="O46" s="175" t="b">
        <f>AND(O44,NOT(ISBLANK(J45)))</f>
        <v>0</v>
      </c>
    </row>
    <row r="47" spans="1:15" ht="12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5" ht="12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2.7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</sheetData>
  <sheetProtection sheet="1" formatCells="0" formatColumns="0" formatRows="0"/>
  <mergeCells count="37">
    <mergeCell ref="F43:G43"/>
    <mergeCell ref="H43:I43"/>
    <mergeCell ref="D36:E36"/>
    <mergeCell ref="F36:I36"/>
    <mergeCell ref="J36:L36"/>
    <mergeCell ref="D42:E42"/>
    <mergeCell ref="F42:I42"/>
    <mergeCell ref="J42:L42"/>
    <mergeCell ref="F37:G37"/>
    <mergeCell ref="H37:I37"/>
    <mergeCell ref="D18:E18"/>
    <mergeCell ref="F18:I18"/>
    <mergeCell ref="J30:L30"/>
    <mergeCell ref="F31:G31"/>
    <mergeCell ref="H31:I31"/>
    <mergeCell ref="D30:E30"/>
    <mergeCell ref="J18:L18"/>
    <mergeCell ref="F19:G19"/>
    <mergeCell ref="H19:I19"/>
    <mergeCell ref="D24:E24"/>
    <mergeCell ref="F24:I24"/>
    <mergeCell ref="J24:L24"/>
    <mergeCell ref="F30:I30"/>
    <mergeCell ref="F25:G25"/>
    <mergeCell ref="H25:I25"/>
    <mergeCell ref="D6:E6"/>
    <mergeCell ref="F6:I6"/>
    <mergeCell ref="D12:E12"/>
    <mergeCell ref="F12:I12"/>
    <mergeCell ref="H13:I13"/>
    <mergeCell ref="F13:G13"/>
    <mergeCell ref="J6:L6"/>
    <mergeCell ref="J12:L12"/>
    <mergeCell ref="F7:G7"/>
    <mergeCell ref="H7:I7"/>
    <mergeCell ref="F17:G17"/>
    <mergeCell ref="H17:I17"/>
  </mergeCells>
  <phoneticPr fontId="9" type="noConversion"/>
  <conditionalFormatting sqref="C10:G10">
    <cfRule type="expression" dxfId="9" priority="26" stopIfTrue="1">
      <formula>"L9=sand"</formula>
    </cfRule>
  </conditionalFormatting>
  <conditionalFormatting sqref="C35:G35">
    <cfRule type="expression" dxfId="8" priority="21" stopIfTrue="1">
      <formula>"L9=sand"</formula>
    </cfRule>
  </conditionalFormatting>
  <conditionalFormatting sqref="C16:G16">
    <cfRule type="expression" dxfId="7" priority="6" stopIfTrue="1">
      <formula>"L9=sand"</formula>
    </cfRule>
  </conditionalFormatting>
  <conditionalFormatting sqref="C22:G22">
    <cfRule type="expression" dxfId="6" priority="5" stopIfTrue="1">
      <formula>"L9=sand"</formula>
    </cfRule>
  </conditionalFormatting>
  <conditionalFormatting sqref="C28:G28">
    <cfRule type="expression" dxfId="5" priority="4" stopIfTrue="1">
      <formula>"L9=sand"</formula>
    </cfRule>
  </conditionalFormatting>
  <conditionalFormatting sqref="C34:G34">
    <cfRule type="expression" dxfId="4" priority="3" stopIfTrue="1">
      <formula>"L9=sand"</formula>
    </cfRule>
  </conditionalFormatting>
  <conditionalFormatting sqref="C40:G40">
    <cfRule type="expression" dxfId="3" priority="2" stopIfTrue="1">
      <formula>"L9=sand"</formula>
    </cfRule>
  </conditionalFormatting>
  <conditionalFormatting sqref="C46:G46">
    <cfRule type="expression" dxfId="2" priority="1" stopIfTrue="1">
      <formula>"L9=sand"</formula>
    </cfRule>
  </conditionalFormatting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7"/>
  <sheetViews>
    <sheetView workbookViewId="0">
      <selection activeCell="L8" sqref="L8 A8:B8"/>
    </sheetView>
  </sheetViews>
  <sheetFormatPr defaultRowHeight="12.75" x14ac:dyDescent="0.2"/>
  <cols>
    <col min="1" max="1" width="13" customWidth="1"/>
    <col min="2" max="2" width="12.7109375" customWidth="1"/>
    <col min="3" max="3" width="14.28515625" customWidth="1"/>
    <col min="4" max="4" width="9.7109375" customWidth="1"/>
    <col min="5" max="8" width="10.7109375" customWidth="1"/>
    <col min="9" max="9" width="11.85546875" customWidth="1"/>
    <col min="12" max="12" width="6.28515625" hidden="1" customWidth="1"/>
  </cols>
  <sheetData>
    <row r="1" spans="1:18" ht="12.75" customHeight="1" x14ac:dyDescent="0.2">
      <c r="A1" s="7" t="s">
        <v>236</v>
      </c>
      <c r="B1" s="682"/>
      <c r="C1" s="682"/>
      <c r="D1" s="7"/>
      <c r="G1" s="326"/>
    </row>
    <row r="2" spans="1:18" ht="12.75" customHeight="1" x14ac:dyDescent="0.2">
      <c r="A2" s="18" t="s">
        <v>316</v>
      </c>
      <c r="B2" s="199"/>
      <c r="C2" s="199"/>
      <c r="D2" s="7"/>
      <c r="G2" s="326"/>
    </row>
    <row r="3" spans="1:18" ht="12.75" customHeight="1" x14ac:dyDescent="0.2">
      <c r="D3" s="14" t="s">
        <v>53</v>
      </c>
      <c r="F3" s="10"/>
      <c r="G3" s="10"/>
    </row>
    <row r="4" spans="1:18" ht="12.75" customHeight="1" x14ac:dyDescent="0.2">
      <c r="A4" s="19" t="s">
        <v>259</v>
      </c>
      <c r="B4" s="19"/>
      <c r="C4" s="84">
        <v>1000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2.75" customHeight="1" x14ac:dyDescent="0.2">
      <c r="A5" s="19"/>
      <c r="B5" s="363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10" customFormat="1" ht="12.75" customHeight="1" x14ac:dyDescent="0.2">
      <c r="A6" s="675" t="s">
        <v>4</v>
      </c>
      <c r="B6" s="677"/>
      <c r="C6" s="675" t="s">
        <v>174</v>
      </c>
      <c r="D6" s="677"/>
      <c r="E6" s="675" t="s">
        <v>172</v>
      </c>
      <c r="F6" s="676"/>
      <c r="G6" s="676"/>
      <c r="H6" s="677"/>
      <c r="I6" s="675" t="s">
        <v>185</v>
      </c>
      <c r="J6" s="676"/>
      <c r="K6" s="677"/>
      <c r="L6" s="19"/>
      <c r="M6" s="355"/>
      <c r="N6" s="355"/>
      <c r="O6" s="355"/>
      <c r="P6" s="355"/>
      <c r="Q6" s="355"/>
      <c r="R6" s="355"/>
    </row>
    <row r="7" spans="1:18" s="13" customFormat="1" ht="12.75" customHeight="1" x14ac:dyDescent="0.2">
      <c r="A7" s="244" t="s">
        <v>6</v>
      </c>
      <c r="B7" s="245" t="s">
        <v>180</v>
      </c>
      <c r="C7" s="80" t="str">
        <f>CONCATENATE("Rate per ",$C$4)</f>
        <v>Rate per 1000</v>
      </c>
      <c r="D7" s="80" t="s">
        <v>2</v>
      </c>
      <c r="E7" s="679" t="s">
        <v>54</v>
      </c>
      <c r="F7" s="680"/>
      <c r="G7" s="679" t="s">
        <v>52</v>
      </c>
      <c r="H7" s="680"/>
      <c r="I7" s="355" t="s">
        <v>143</v>
      </c>
      <c r="J7" s="80" t="s">
        <v>32</v>
      </c>
      <c r="K7" s="80" t="s">
        <v>33</v>
      </c>
      <c r="L7" s="355" t="s">
        <v>175</v>
      </c>
      <c r="M7" s="356"/>
      <c r="N7" s="356"/>
      <c r="O7" s="356"/>
      <c r="P7" s="356"/>
      <c r="Q7" s="356"/>
      <c r="R7" s="356"/>
    </row>
    <row r="8" spans="1:18" ht="12.75" customHeight="1" x14ac:dyDescent="0.2">
      <c r="A8" s="246">
        <v>23</v>
      </c>
      <c r="B8" s="462">
        <v>1074</v>
      </c>
      <c r="C8" s="599">
        <f>IF(L8,$C$4*A8/B8,"")</f>
        <v>21.415270018621975</v>
      </c>
      <c r="D8" s="505"/>
      <c r="E8" s="600">
        <f>IF(L8,$C$4*EXP(E9),"")</f>
        <v>14.230904433308186</v>
      </c>
      <c r="F8" s="601">
        <f>IF(L8,$C$4*EXP(F9),"")</f>
        <v>32.226608794946259</v>
      </c>
      <c r="G8" s="602">
        <f>IF(L8,$C$4*0.5*CHIINV(0.975,2*A8)/B8,"")</f>
        <v>13.575444168570463</v>
      </c>
      <c r="H8" s="603">
        <f>IF(L8,$C$4*0.5*CHIINV(0.025,2*A8+2)/B8,"")</f>
        <v>32.133419827591283</v>
      </c>
      <c r="I8" s="604">
        <v>21</v>
      </c>
      <c r="J8" s="365"/>
      <c r="K8" s="123">
        <f>IF(L9,IF(2*_xlfn.NORM.DIST(-ABS(J9),0,1,TRUE)&gt;=0.001,2*_xlfn.NORM.DIST(-ABS(J9),0,1,TRUE),"&lt;0.001"),"")</f>
        <v>0.92517991294053925</v>
      </c>
      <c r="L8" s="356" t="b">
        <f>AND(A8&gt;0,B8&gt;0,INT(A8)=A8)</f>
        <v>1</v>
      </c>
      <c r="M8" s="19"/>
      <c r="N8" s="19"/>
      <c r="O8" s="19"/>
      <c r="P8" s="19"/>
      <c r="Q8" s="19"/>
      <c r="R8" s="19"/>
    </row>
    <row r="9" spans="1:18" ht="12.75" customHeight="1" x14ac:dyDescent="0.2">
      <c r="A9" s="584"/>
      <c r="B9" s="291"/>
      <c r="C9" s="85">
        <f>IF(L8,LN(A8/B8),"")</f>
        <v>-3.8436510591396602</v>
      </c>
      <c r="D9" s="85">
        <f>IF(L8,SQRT(1/A8),"")</f>
        <v>0.20851441405707477</v>
      </c>
      <c r="E9" s="340">
        <f>IF(L8,C9-1.96*D9,"")</f>
        <v>-4.2523393106915268</v>
      </c>
      <c r="F9" s="340">
        <f>IF(L8,C9+1.96*D9,"")</f>
        <v>-3.4349628075877936</v>
      </c>
      <c r="G9" s="105"/>
      <c r="H9" s="105"/>
      <c r="I9" s="105"/>
      <c r="J9" s="371">
        <f>IF(L9,(C9-LN(I8/$C$4))/D9,"")</f>
        <v>9.391092796919856E-2</v>
      </c>
      <c r="K9" s="19"/>
      <c r="L9" s="356" t="b">
        <f>AND(L8,NOT(ISBLANK(I8)))</f>
        <v>1</v>
      </c>
      <c r="M9" s="19"/>
      <c r="N9" s="19"/>
      <c r="O9" s="19"/>
      <c r="P9" s="19"/>
      <c r="Q9" s="19"/>
      <c r="R9" s="19"/>
    </row>
    <row r="10" spans="1:18" ht="12.75" customHeight="1" x14ac:dyDescent="0.2">
      <c r="A10" s="19"/>
      <c r="B10" s="19"/>
      <c r="C10" s="81"/>
      <c r="D10" s="81"/>
      <c r="E10" s="81"/>
      <c r="F10" s="81"/>
      <c r="G10" s="81"/>
      <c r="H10" s="81"/>
      <c r="I10" s="81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2.75" customHeight="1" x14ac:dyDescent="0.2">
      <c r="A11" s="358"/>
      <c r="B11" s="359"/>
      <c r="C11" s="360"/>
      <c r="D11" s="360"/>
      <c r="E11" s="360"/>
      <c r="F11" s="360"/>
      <c r="G11" s="360"/>
      <c r="H11" s="364"/>
      <c r="I11" s="364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2.75" customHeight="1" x14ac:dyDescent="0.2">
      <c r="A12" s="675" t="s">
        <v>4</v>
      </c>
      <c r="B12" s="677"/>
      <c r="C12" s="675" t="s">
        <v>174</v>
      </c>
      <c r="D12" s="677"/>
      <c r="E12" s="675" t="s">
        <v>172</v>
      </c>
      <c r="F12" s="676"/>
      <c r="G12" s="676"/>
      <c r="H12" s="677"/>
      <c r="I12" s="675" t="s">
        <v>185</v>
      </c>
      <c r="J12" s="676"/>
      <c r="K12" s="677"/>
      <c r="L12" s="19"/>
      <c r="M12" s="19"/>
      <c r="N12" s="19"/>
      <c r="O12" s="19"/>
      <c r="P12" s="19"/>
      <c r="Q12" s="19"/>
      <c r="R12" s="19"/>
    </row>
    <row r="13" spans="1:18" ht="12.75" customHeight="1" x14ac:dyDescent="0.2">
      <c r="A13" s="244" t="s">
        <v>6</v>
      </c>
      <c r="B13" s="245" t="s">
        <v>180</v>
      </c>
      <c r="C13" s="80" t="str">
        <f>CONCATENATE("Rate per ",$C$4)</f>
        <v>Rate per 1000</v>
      </c>
      <c r="D13" s="80" t="s">
        <v>2</v>
      </c>
      <c r="E13" s="679" t="s">
        <v>54</v>
      </c>
      <c r="F13" s="680"/>
      <c r="G13" s="679" t="s">
        <v>52</v>
      </c>
      <c r="H13" s="680"/>
      <c r="I13" s="355" t="s">
        <v>143</v>
      </c>
      <c r="J13" s="80" t="s">
        <v>32</v>
      </c>
      <c r="K13" s="80" t="s">
        <v>33</v>
      </c>
      <c r="L13" s="355" t="s">
        <v>175</v>
      </c>
      <c r="M13" s="19"/>
      <c r="N13" s="19"/>
      <c r="O13" s="19"/>
      <c r="P13" s="19"/>
      <c r="Q13" s="19"/>
      <c r="R13" s="19"/>
    </row>
    <row r="14" spans="1:18" ht="12.75" customHeight="1" x14ac:dyDescent="0.2">
      <c r="A14" s="246"/>
      <c r="B14" s="462"/>
      <c r="C14" s="599" t="str">
        <f>IF(L14,$C$4*A14/B14,"")</f>
        <v/>
      </c>
      <c r="D14" s="505"/>
      <c r="E14" s="600" t="str">
        <f>IF(L14,$C$4*EXP(E15),"")</f>
        <v/>
      </c>
      <c r="F14" s="601" t="str">
        <f>IF(L14,$C$4*EXP(F15),"")</f>
        <v/>
      </c>
      <c r="G14" s="602" t="str">
        <f>IF(L14,$C$4*0.5*CHIINV(0.975,2*A14)/B14,"")</f>
        <v/>
      </c>
      <c r="H14" s="603" t="str">
        <f>IF(L14,$C$4*0.5*CHIINV(0.025,2*A14+2)/B14,"")</f>
        <v/>
      </c>
      <c r="I14" s="604">
        <v>21</v>
      </c>
      <c r="J14" s="365"/>
      <c r="K14" s="123" t="str">
        <f>IF(L15,IF(2*_xlfn.NORM.DIST(-ABS(J15),0,1,TRUE)&gt;=0.001,2*_xlfn.NORM.DIST(-ABS(J15),0,1,TRUE),"&lt;0.001"),"")</f>
        <v/>
      </c>
      <c r="L14" s="356" t="b">
        <f>AND(A14&gt;0,B14&gt;0,INT(A14)=A14)</f>
        <v>0</v>
      </c>
      <c r="M14" s="19"/>
      <c r="N14" s="19"/>
      <c r="O14" s="19"/>
      <c r="P14" s="19"/>
      <c r="Q14" s="19"/>
      <c r="R14" s="19"/>
    </row>
    <row r="15" spans="1:18" ht="12.75" customHeight="1" x14ac:dyDescent="0.2">
      <c r="A15" s="584"/>
      <c r="B15" s="291"/>
      <c r="C15" s="85" t="str">
        <f>IF(L14,LN(A14/B14),"")</f>
        <v/>
      </c>
      <c r="D15" s="85" t="str">
        <f>IF(L14,SQRT(1/A14),"")</f>
        <v/>
      </c>
      <c r="E15" s="340" t="str">
        <f>IF(L14,C15-1.96*D15,"")</f>
        <v/>
      </c>
      <c r="F15" s="340" t="str">
        <f>IF(L14,C15+1.96*D15,"")</f>
        <v/>
      </c>
      <c r="G15" s="105"/>
      <c r="H15" s="105"/>
      <c r="I15" s="105"/>
      <c r="J15" s="371" t="str">
        <f>IF(L15,(C15-LN(I14/$C$4))/D15,"")</f>
        <v/>
      </c>
      <c r="K15" s="19"/>
      <c r="L15" s="356" t="b">
        <f>AND(L14,NOT(ISBLANK(I14)))</f>
        <v>0</v>
      </c>
      <c r="M15" s="19"/>
      <c r="N15" s="19"/>
      <c r="O15" s="19"/>
      <c r="P15" s="19"/>
      <c r="Q15" s="19"/>
      <c r="R15" s="19"/>
    </row>
    <row r="16" spans="1:18" ht="12.75" customHeight="1" x14ac:dyDescent="0.2">
      <c r="A16" s="19"/>
      <c r="B16" s="19"/>
      <c r="C16" s="81"/>
      <c r="D16" s="81"/>
      <c r="E16" s="81"/>
      <c r="F16" s="81"/>
      <c r="G16" s="81"/>
      <c r="H16" s="81"/>
      <c r="I16" s="81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2.75" customHeight="1" x14ac:dyDescent="0.2">
      <c r="A17" s="96"/>
      <c r="B17" s="96"/>
      <c r="C17" s="96"/>
      <c r="D17" s="96"/>
      <c r="E17" s="96"/>
      <c r="F17" s="96"/>
      <c r="G17" s="96"/>
      <c r="H17" s="96"/>
      <c r="I17" s="96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2.75" customHeight="1" x14ac:dyDescent="0.2">
      <c r="A18" s="675" t="s">
        <v>4</v>
      </c>
      <c r="B18" s="677"/>
      <c r="C18" s="675" t="s">
        <v>174</v>
      </c>
      <c r="D18" s="677"/>
      <c r="E18" s="675" t="s">
        <v>172</v>
      </c>
      <c r="F18" s="676"/>
      <c r="G18" s="676"/>
      <c r="H18" s="677"/>
      <c r="I18" s="675" t="s">
        <v>185</v>
      </c>
      <c r="J18" s="676"/>
      <c r="K18" s="677"/>
      <c r="L18" s="19"/>
      <c r="M18" s="19"/>
      <c r="N18" s="19"/>
      <c r="O18" s="19"/>
      <c r="P18" s="19"/>
      <c r="Q18" s="19"/>
      <c r="R18" s="19"/>
    </row>
    <row r="19" spans="1:18" ht="12.75" customHeight="1" x14ac:dyDescent="0.2">
      <c r="A19" s="244" t="s">
        <v>6</v>
      </c>
      <c r="B19" s="245" t="s">
        <v>180</v>
      </c>
      <c r="C19" s="80" t="str">
        <f>CONCATENATE("Rate per ",$C$4)</f>
        <v>Rate per 1000</v>
      </c>
      <c r="D19" s="80" t="s">
        <v>2</v>
      </c>
      <c r="E19" s="679" t="s">
        <v>54</v>
      </c>
      <c r="F19" s="680"/>
      <c r="G19" s="679" t="s">
        <v>52</v>
      </c>
      <c r="H19" s="680"/>
      <c r="I19" s="355" t="s">
        <v>143</v>
      </c>
      <c r="J19" s="80" t="s">
        <v>32</v>
      </c>
      <c r="K19" s="80" t="s">
        <v>33</v>
      </c>
      <c r="L19" s="355" t="s">
        <v>175</v>
      </c>
      <c r="M19" s="19"/>
      <c r="N19" s="19"/>
      <c r="O19" s="19"/>
      <c r="P19" s="19"/>
      <c r="Q19" s="19"/>
      <c r="R19" s="19"/>
    </row>
    <row r="20" spans="1:18" ht="12.75" customHeight="1" x14ac:dyDescent="0.2">
      <c r="A20" s="246"/>
      <c r="B20" s="462"/>
      <c r="C20" s="599" t="str">
        <f>IF(L20,$C$4*A20/B20,"")</f>
        <v/>
      </c>
      <c r="D20" s="505"/>
      <c r="E20" s="600" t="str">
        <f>IF(L20,$C$4*EXP(E21),"")</f>
        <v/>
      </c>
      <c r="F20" s="601" t="str">
        <f>IF(L20,$C$4*EXP(F21),"")</f>
        <v/>
      </c>
      <c r="G20" s="602" t="str">
        <f>IF(L20,$C$4*0.5*CHIINV(0.975,2*A20)/B20,"")</f>
        <v/>
      </c>
      <c r="H20" s="603" t="str">
        <f>IF(L20,$C$4*0.5*CHIINV(0.025,2*A20+2)/B20,"")</f>
        <v/>
      </c>
      <c r="I20" s="604">
        <v>21</v>
      </c>
      <c r="J20" s="365"/>
      <c r="K20" s="123" t="str">
        <f>IF(L21,IF(2*_xlfn.NORM.DIST(-ABS(J21),0,1,TRUE)&gt;=0.001,2*_xlfn.NORM.DIST(-ABS(J21),0,1,TRUE),"&lt;0.001"),"")</f>
        <v/>
      </c>
      <c r="L20" s="356" t="b">
        <f>AND(A20&gt;0,B20&gt;0,INT(A20)=A20)</f>
        <v>0</v>
      </c>
      <c r="M20" s="19"/>
      <c r="N20" s="19"/>
      <c r="O20" s="19"/>
      <c r="P20" s="19"/>
      <c r="Q20" s="19"/>
      <c r="R20" s="19"/>
    </row>
    <row r="21" spans="1:18" ht="12.75" customHeight="1" x14ac:dyDescent="0.2">
      <c r="A21" s="584"/>
      <c r="B21" s="291"/>
      <c r="C21" s="85" t="str">
        <f>IF(L20,LN(A20/B20),"")</f>
        <v/>
      </c>
      <c r="D21" s="85" t="str">
        <f>IF(L20,SQRT(1/A20),"")</f>
        <v/>
      </c>
      <c r="E21" s="340" t="str">
        <f>IF(L20,C21-1.96*D21,"")</f>
        <v/>
      </c>
      <c r="F21" s="340" t="str">
        <f>IF(L20,C21+1.96*D21,"")</f>
        <v/>
      </c>
      <c r="G21" s="105"/>
      <c r="H21" s="105"/>
      <c r="I21" s="105"/>
      <c r="J21" s="371" t="str">
        <f>IF(L21,(C21-LN(I20/$C$4))/D21,"")</f>
        <v/>
      </c>
      <c r="K21" s="19"/>
      <c r="L21" s="356" t="b">
        <f>AND(L20,NOT(ISBLANK(I20)))</f>
        <v>0</v>
      </c>
    </row>
    <row r="22" spans="1:18" ht="12.75" customHeight="1" x14ac:dyDescent="0.2">
      <c r="A22" s="19"/>
      <c r="B22" s="19"/>
      <c r="C22" s="81"/>
      <c r="D22" s="81"/>
      <c r="E22" s="81"/>
      <c r="F22" s="81"/>
      <c r="G22" s="81"/>
      <c r="H22" s="81"/>
      <c r="I22" s="81"/>
      <c r="J22" s="19"/>
      <c r="K22" s="19"/>
      <c r="L22" s="19"/>
    </row>
    <row r="23" spans="1:18" ht="12.75" customHeight="1" x14ac:dyDescent="0.2">
      <c r="A23" s="358"/>
      <c r="B23" s="359"/>
      <c r="C23" s="360"/>
      <c r="D23" s="360"/>
      <c r="E23" s="360"/>
      <c r="F23" s="360"/>
      <c r="G23" s="360"/>
      <c r="H23" s="361"/>
      <c r="I23" s="361"/>
    </row>
    <row r="24" spans="1:18" ht="12.75" customHeight="1" x14ac:dyDescent="0.2">
      <c r="A24" s="675" t="s">
        <v>4</v>
      </c>
      <c r="B24" s="677"/>
      <c r="C24" s="675" t="s">
        <v>174</v>
      </c>
      <c r="D24" s="677"/>
      <c r="E24" s="675" t="s">
        <v>172</v>
      </c>
      <c r="F24" s="676"/>
      <c r="G24" s="676"/>
      <c r="H24" s="677"/>
      <c r="I24" s="675" t="s">
        <v>185</v>
      </c>
      <c r="J24" s="676"/>
      <c r="K24" s="677"/>
      <c r="L24" s="19"/>
    </row>
    <row r="25" spans="1:18" ht="12.75" customHeight="1" x14ac:dyDescent="0.2">
      <c r="A25" s="244" t="s">
        <v>6</v>
      </c>
      <c r="B25" s="245" t="s">
        <v>180</v>
      </c>
      <c r="C25" s="80" t="str">
        <f>CONCATENATE("Rate per ",$C$4)</f>
        <v>Rate per 1000</v>
      </c>
      <c r="D25" s="80" t="s">
        <v>2</v>
      </c>
      <c r="E25" s="679" t="s">
        <v>54</v>
      </c>
      <c r="F25" s="680"/>
      <c r="G25" s="679" t="s">
        <v>52</v>
      </c>
      <c r="H25" s="680"/>
      <c r="I25" s="355" t="s">
        <v>143</v>
      </c>
      <c r="J25" s="80" t="s">
        <v>32</v>
      </c>
      <c r="K25" s="80" t="s">
        <v>33</v>
      </c>
      <c r="L25" s="355" t="s">
        <v>175</v>
      </c>
    </row>
    <row r="26" spans="1:18" ht="12.75" customHeight="1" x14ac:dyDescent="0.2">
      <c r="A26" s="246"/>
      <c r="B26" s="462"/>
      <c r="C26" s="599" t="str">
        <f>IF(L26,$C$4*A26/B26,"")</f>
        <v/>
      </c>
      <c r="D26" s="505"/>
      <c r="E26" s="600" t="str">
        <f>IF(L26,$C$4*EXP(E27),"")</f>
        <v/>
      </c>
      <c r="F26" s="601" t="str">
        <f>IF(L26,$C$4*EXP(F27),"")</f>
        <v/>
      </c>
      <c r="G26" s="602" t="str">
        <f>IF(L26,$C$4*0.5*CHIINV(0.975,2*A26)/B26,"")</f>
        <v/>
      </c>
      <c r="H26" s="603" t="str">
        <f>IF(L26,$C$4*0.5*CHIINV(0.025,2*A26+2)/B26,"")</f>
        <v/>
      </c>
      <c r="I26" s="604">
        <v>21</v>
      </c>
      <c r="J26" s="365"/>
      <c r="K26" s="123" t="str">
        <f>IF(L27,IF(2*_xlfn.NORM.DIST(-ABS(J27),0,1,TRUE)&gt;=0.001,2*_xlfn.NORM.DIST(-ABS(J27),0,1,TRUE),"&lt;0.001"),"")</f>
        <v/>
      </c>
      <c r="L26" s="356" t="b">
        <f>AND(A26&gt;0,B26&gt;0,INT(A26)=A26)</f>
        <v>0</v>
      </c>
    </row>
    <row r="27" spans="1:18" ht="12.75" customHeight="1" x14ac:dyDescent="0.2">
      <c r="A27" s="584"/>
      <c r="B27" s="291"/>
      <c r="C27" s="85" t="str">
        <f>IF(L26,LN(A26/B26),"")</f>
        <v/>
      </c>
      <c r="D27" s="85" t="str">
        <f>IF(L26,SQRT(1/A26),"")</f>
        <v/>
      </c>
      <c r="E27" s="340" t="str">
        <f>IF(L26,C27-1.96*D27,"")</f>
        <v/>
      </c>
      <c r="F27" s="340" t="str">
        <f>IF(L26,C27+1.96*D27,"")</f>
        <v/>
      </c>
      <c r="G27" s="105"/>
      <c r="H27" s="105"/>
      <c r="I27" s="105"/>
      <c r="J27" s="371" t="str">
        <f>IF(L27,(C27-LN(I26/$C$4))/D27,"")</f>
        <v/>
      </c>
      <c r="K27" s="19"/>
      <c r="L27" s="356" t="b">
        <f>AND(L26,NOT(ISBLANK(I26)))</f>
        <v>0</v>
      </c>
    </row>
    <row r="28" spans="1:18" ht="12.75" customHeight="1" x14ac:dyDescent="0.2">
      <c r="A28" s="19"/>
      <c r="B28" s="19"/>
      <c r="C28" s="81"/>
      <c r="D28" s="81"/>
      <c r="E28" s="81"/>
      <c r="F28" s="81"/>
      <c r="G28" s="81"/>
      <c r="H28" s="81"/>
      <c r="I28" s="81"/>
      <c r="J28" s="19"/>
      <c r="K28" s="19"/>
      <c r="L28" s="19"/>
    </row>
    <row r="29" spans="1:18" ht="12.75" customHeight="1" x14ac:dyDescent="0.2">
      <c r="A29" s="96"/>
      <c r="B29" s="96"/>
      <c r="C29" s="96"/>
      <c r="D29" s="96"/>
      <c r="E29" s="96"/>
      <c r="F29" s="96"/>
      <c r="G29" s="96"/>
      <c r="H29" s="324"/>
      <c r="I29" s="324"/>
    </row>
    <row r="30" spans="1:18" ht="12.75" customHeight="1" x14ac:dyDescent="0.2">
      <c r="A30" s="675" t="s">
        <v>4</v>
      </c>
      <c r="B30" s="677"/>
      <c r="C30" s="675" t="s">
        <v>174</v>
      </c>
      <c r="D30" s="677"/>
      <c r="E30" s="675" t="s">
        <v>172</v>
      </c>
      <c r="F30" s="676"/>
      <c r="G30" s="676"/>
      <c r="H30" s="677"/>
      <c r="I30" s="675" t="s">
        <v>185</v>
      </c>
      <c r="J30" s="676"/>
      <c r="K30" s="677"/>
      <c r="L30" s="19"/>
    </row>
    <row r="31" spans="1:18" ht="12.75" customHeight="1" x14ac:dyDescent="0.2">
      <c r="A31" s="244" t="s">
        <v>6</v>
      </c>
      <c r="B31" s="245" t="s">
        <v>180</v>
      </c>
      <c r="C31" s="80" t="str">
        <f>CONCATENATE("Rate per ",$C$4)</f>
        <v>Rate per 1000</v>
      </c>
      <c r="D31" s="80" t="s">
        <v>2</v>
      </c>
      <c r="E31" s="679" t="s">
        <v>54</v>
      </c>
      <c r="F31" s="680"/>
      <c r="G31" s="679" t="s">
        <v>52</v>
      </c>
      <c r="H31" s="680"/>
      <c r="I31" s="355" t="s">
        <v>143</v>
      </c>
      <c r="J31" s="80" t="s">
        <v>32</v>
      </c>
      <c r="K31" s="80" t="s">
        <v>33</v>
      </c>
      <c r="L31" s="355" t="s">
        <v>175</v>
      </c>
    </row>
    <row r="32" spans="1:18" ht="12.75" customHeight="1" x14ac:dyDescent="0.2">
      <c r="A32" s="246"/>
      <c r="B32" s="462"/>
      <c r="C32" s="599" t="str">
        <f>IF(L32,$C$4*A32/B32,"")</f>
        <v/>
      </c>
      <c r="D32" s="505"/>
      <c r="E32" s="600" t="str">
        <f>IF(L32,$C$4*EXP(E33),"")</f>
        <v/>
      </c>
      <c r="F32" s="601" t="str">
        <f>IF(L32,$C$4*EXP(F33),"")</f>
        <v/>
      </c>
      <c r="G32" s="602" t="str">
        <f>IF(L32,$C$4*0.5*CHIINV(0.975,2*A32)/B32,"")</f>
        <v/>
      </c>
      <c r="H32" s="603" t="str">
        <f>IF(L32,$C$4*0.5*CHIINV(0.025,2*A32+2)/B32,"")</f>
        <v/>
      </c>
      <c r="I32" s="604">
        <v>21</v>
      </c>
      <c r="J32" s="365"/>
      <c r="K32" s="123" t="str">
        <f>IF(L33,IF(2*_xlfn.NORM.DIST(-ABS(J33),0,1,TRUE)&gt;=0.001,2*_xlfn.NORM.DIST(-ABS(J33),0,1,TRUE),"&lt;0.001"),"")</f>
        <v/>
      </c>
      <c r="L32" s="356" t="b">
        <f>AND(A32&gt;0,B32&gt;0,INT(A32)=A32)</f>
        <v>0</v>
      </c>
    </row>
    <row r="33" spans="1:12" ht="12.75" customHeight="1" x14ac:dyDescent="0.2">
      <c r="A33" s="584"/>
      <c r="B33" s="291"/>
      <c r="C33" s="85" t="str">
        <f>IF(L32,LN(A32/B32),"")</f>
        <v/>
      </c>
      <c r="D33" s="85" t="str">
        <f>IF(L32,SQRT(1/A32),"")</f>
        <v/>
      </c>
      <c r="E33" s="340" t="str">
        <f>IF(L32,C33-1.96*D33,"")</f>
        <v/>
      </c>
      <c r="F33" s="340" t="str">
        <f>IF(L32,C33+1.96*D33,"")</f>
        <v/>
      </c>
      <c r="G33" s="105"/>
      <c r="H33" s="105"/>
      <c r="I33" s="105"/>
      <c r="J33" s="371" t="str">
        <f>IF(L33,(C33-LN(I32/$C$4))/D33,"")</f>
        <v/>
      </c>
      <c r="K33" s="19"/>
      <c r="L33" s="356" t="b">
        <f>AND(L32,NOT(ISBLANK(I32)))</f>
        <v>0</v>
      </c>
    </row>
    <row r="34" spans="1:12" ht="12.75" customHeight="1" x14ac:dyDescent="0.2">
      <c r="A34" s="19"/>
      <c r="B34" s="19"/>
      <c r="C34" s="81"/>
      <c r="D34" s="81"/>
      <c r="E34" s="81"/>
      <c r="F34" s="81"/>
      <c r="G34" s="81"/>
      <c r="H34" s="81"/>
      <c r="I34" s="81"/>
      <c r="J34" s="19"/>
      <c r="K34" s="19"/>
      <c r="L34" s="19"/>
    </row>
    <row r="35" spans="1:12" ht="12.75" customHeight="1" x14ac:dyDescent="0.2">
      <c r="A35" s="358"/>
      <c r="B35" s="359"/>
      <c r="C35" s="360"/>
      <c r="D35" s="360"/>
      <c r="E35" s="360"/>
      <c r="F35" s="360"/>
      <c r="G35" s="360"/>
      <c r="H35" s="361"/>
      <c r="I35" s="361"/>
    </row>
    <row r="36" spans="1:12" ht="12.75" customHeight="1" x14ac:dyDescent="0.2">
      <c r="A36" s="675" t="s">
        <v>4</v>
      </c>
      <c r="B36" s="677"/>
      <c r="C36" s="675" t="s">
        <v>174</v>
      </c>
      <c r="D36" s="677"/>
      <c r="E36" s="675" t="s">
        <v>172</v>
      </c>
      <c r="F36" s="676"/>
      <c r="G36" s="676"/>
      <c r="H36" s="677"/>
      <c r="I36" s="675" t="s">
        <v>185</v>
      </c>
      <c r="J36" s="676"/>
      <c r="K36" s="677"/>
      <c r="L36" s="19"/>
    </row>
    <row r="37" spans="1:12" ht="12.75" customHeight="1" x14ac:dyDescent="0.2">
      <c r="A37" s="244" t="s">
        <v>6</v>
      </c>
      <c r="B37" s="245" t="s">
        <v>180</v>
      </c>
      <c r="C37" s="80" t="str">
        <f>CONCATENATE("Rate per ",$C$4)</f>
        <v>Rate per 1000</v>
      </c>
      <c r="D37" s="80" t="s">
        <v>2</v>
      </c>
      <c r="E37" s="679" t="s">
        <v>54</v>
      </c>
      <c r="F37" s="680"/>
      <c r="G37" s="679" t="s">
        <v>52</v>
      </c>
      <c r="H37" s="680"/>
      <c r="I37" s="355" t="s">
        <v>143</v>
      </c>
      <c r="J37" s="80" t="s">
        <v>32</v>
      </c>
      <c r="K37" s="80" t="s">
        <v>33</v>
      </c>
      <c r="L37" s="355" t="s">
        <v>175</v>
      </c>
    </row>
    <row r="38" spans="1:12" ht="12.75" customHeight="1" x14ac:dyDescent="0.2">
      <c r="A38" s="246"/>
      <c r="B38" s="462"/>
      <c r="C38" s="599" t="str">
        <f>IF(L38,$C$4*A38/B38,"")</f>
        <v/>
      </c>
      <c r="D38" s="505"/>
      <c r="E38" s="600" t="str">
        <f>IF(L38,$C$4*EXP(E39),"")</f>
        <v/>
      </c>
      <c r="F38" s="601" t="str">
        <f>IF(L38,$C$4*EXP(F39),"")</f>
        <v/>
      </c>
      <c r="G38" s="602" t="str">
        <f>IF(L38,$C$4*0.5*CHIINV(0.975,2*A38)/B38,"")</f>
        <v/>
      </c>
      <c r="H38" s="603" t="str">
        <f>IF(L38,$C$4*0.5*CHIINV(0.025,2*A38+2)/B38,"")</f>
        <v/>
      </c>
      <c r="I38" s="604">
        <v>21</v>
      </c>
      <c r="J38" s="365"/>
      <c r="K38" s="123" t="str">
        <f>IF(L39,IF(2*_xlfn.NORM.DIST(-ABS(J39),0,1,TRUE)&gt;=0.001,2*_xlfn.NORM.DIST(-ABS(J39),0,1,TRUE),"&lt;0.001"),"")</f>
        <v/>
      </c>
      <c r="L38" s="356" t="b">
        <f>AND(A38&gt;0,B38&gt;0,INT(A38)=A38)</f>
        <v>0</v>
      </c>
    </row>
    <row r="39" spans="1:12" ht="12.75" customHeight="1" x14ac:dyDescent="0.2">
      <c r="A39" s="584"/>
      <c r="B39" s="291"/>
      <c r="C39" s="85" t="str">
        <f>IF(L38,LN(A38/B38),"")</f>
        <v/>
      </c>
      <c r="D39" s="85" t="str">
        <f>IF(L38,SQRT(1/A38),"")</f>
        <v/>
      </c>
      <c r="E39" s="340" t="str">
        <f>IF(L38,C39-1.96*D39,"")</f>
        <v/>
      </c>
      <c r="F39" s="340" t="str">
        <f>IF(L38,C39+1.96*D39,"")</f>
        <v/>
      </c>
      <c r="G39" s="105"/>
      <c r="H39" s="105"/>
      <c r="I39" s="105"/>
      <c r="J39" s="371" t="str">
        <f>IF(L39,(C39-LN(I38/$C$4))/D39,"")</f>
        <v/>
      </c>
      <c r="K39" s="19"/>
      <c r="L39" s="356" t="b">
        <f>AND(L38,NOT(ISBLANK(I38)))</f>
        <v>0</v>
      </c>
    </row>
    <row r="40" spans="1:12" ht="12.75" customHeight="1" x14ac:dyDescent="0.2">
      <c r="A40" s="19"/>
      <c r="B40" s="19"/>
      <c r="C40" s="81"/>
      <c r="D40" s="81"/>
      <c r="E40" s="81"/>
      <c r="F40" s="81"/>
      <c r="G40" s="81"/>
      <c r="H40" s="81"/>
      <c r="I40" s="81"/>
      <c r="J40" s="19"/>
      <c r="K40" s="19"/>
      <c r="L40" s="19"/>
    </row>
    <row r="41" spans="1:12" ht="12.75" customHeight="1" x14ac:dyDescent="0.2">
      <c r="A41" s="96"/>
      <c r="B41" s="96"/>
      <c r="C41" s="96"/>
      <c r="D41" s="96"/>
      <c r="E41" s="96"/>
      <c r="F41" s="96"/>
      <c r="G41" s="96"/>
      <c r="H41" s="324"/>
      <c r="I41" s="324"/>
    </row>
    <row r="42" spans="1:12" ht="12.75" customHeight="1" x14ac:dyDescent="0.2">
      <c r="A42" s="675" t="s">
        <v>4</v>
      </c>
      <c r="B42" s="677"/>
      <c r="C42" s="675" t="s">
        <v>174</v>
      </c>
      <c r="D42" s="677"/>
      <c r="E42" s="675" t="s">
        <v>172</v>
      </c>
      <c r="F42" s="676"/>
      <c r="G42" s="676"/>
      <c r="H42" s="677"/>
      <c r="I42" s="675" t="s">
        <v>185</v>
      </c>
      <c r="J42" s="676"/>
      <c r="K42" s="677"/>
      <c r="L42" s="19"/>
    </row>
    <row r="43" spans="1:12" ht="12.75" customHeight="1" x14ac:dyDescent="0.2">
      <c r="A43" s="244" t="s">
        <v>6</v>
      </c>
      <c r="B43" s="245" t="s">
        <v>180</v>
      </c>
      <c r="C43" s="80" t="str">
        <f>CONCATENATE("Rate per ",$C$4)</f>
        <v>Rate per 1000</v>
      </c>
      <c r="D43" s="80" t="s">
        <v>2</v>
      </c>
      <c r="E43" s="679" t="s">
        <v>54</v>
      </c>
      <c r="F43" s="680"/>
      <c r="G43" s="679" t="s">
        <v>52</v>
      </c>
      <c r="H43" s="680"/>
      <c r="I43" s="355" t="s">
        <v>143</v>
      </c>
      <c r="J43" s="80" t="s">
        <v>32</v>
      </c>
      <c r="K43" s="80" t="s">
        <v>33</v>
      </c>
      <c r="L43" s="355" t="s">
        <v>175</v>
      </c>
    </row>
    <row r="44" spans="1:12" ht="12.75" customHeight="1" x14ac:dyDescent="0.2">
      <c r="A44" s="246"/>
      <c r="B44" s="462"/>
      <c r="C44" s="599" t="str">
        <f>IF(L44,$C$4*A44/B44,"")</f>
        <v/>
      </c>
      <c r="D44" s="505"/>
      <c r="E44" s="600" t="str">
        <f>IF(L44,$C$4*EXP(E45),"")</f>
        <v/>
      </c>
      <c r="F44" s="601" t="str">
        <f>IF(L44,$C$4*EXP(F45),"")</f>
        <v/>
      </c>
      <c r="G44" s="602" t="str">
        <f>IF(L44,$C$4*0.5*CHIINV(0.975,2*A44)/B44,"")</f>
        <v/>
      </c>
      <c r="H44" s="603" t="str">
        <f>IF(L44,$C$4*0.5*CHIINV(0.025,2*A44+2)/B44,"")</f>
        <v/>
      </c>
      <c r="I44" s="604">
        <v>21</v>
      </c>
      <c r="J44" s="365"/>
      <c r="K44" s="123" t="str">
        <f>IF(L45,IF(2*_xlfn.NORM.DIST(-ABS(J45),0,1,TRUE)&gt;=0.001,2*_xlfn.NORM.DIST(-ABS(J45),0,1,TRUE),"&lt;0.001"),"")</f>
        <v/>
      </c>
      <c r="L44" s="356" t="b">
        <f>AND(A44&gt;0,B44&gt;0,INT(A44)=A44)</f>
        <v>0</v>
      </c>
    </row>
    <row r="45" spans="1:12" ht="12.75" customHeight="1" x14ac:dyDescent="0.2">
      <c r="A45" s="584"/>
      <c r="B45" s="291"/>
      <c r="C45" s="85" t="str">
        <f>IF(L44,LN(A44/B44),"")</f>
        <v/>
      </c>
      <c r="D45" s="85" t="str">
        <f>IF(L44,SQRT(1/A44),"")</f>
        <v/>
      </c>
      <c r="E45" s="340" t="str">
        <f>IF(L44,C45-1.96*D45,"")</f>
        <v/>
      </c>
      <c r="F45" s="340" t="str">
        <f>IF(L44,C45+1.96*D45,"")</f>
        <v/>
      </c>
      <c r="G45" s="105"/>
      <c r="H45" s="105"/>
      <c r="I45" s="105"/>
      <c r="J45" s="371" t="str">
        <f>IF(L45,(C45-LN(I44/$C$4))/D45,"")</f>
        <v/>
      </c>
      <c r="K45" s="19"/>
      <c r="L45" s="356" t="b">
        <f>AND(L44,NOT(ISBLANK(I44)))</f>
        <v>0</v>
      </c>
    </row>
    <row r="46" spans="1:12" ht="12.75" customHeight="1" x14ac:dyDescent="0.2">
      <c r="A46" s="19"/>
      <c r="B46" s="19"/>
      <c r="C46" s="81"/>
      <c r="D46" s="81"/>
      <c r="E46" s="81"/>
      <c r="F46" s="81"/>
      <c r="G46" s="81"/>
      <c r="H46" s="81"/>
      <c r="I46" s="81"/>
      <c r="J46" s="19"/>
      <c r="K46" s="19"/>
      <c r="L46" s="19"/>
    </row>
    <row r="47" spans="1:12" ht="12.75" customHeight="1" x14ac:dyDescent="0.2"/>
  </sheetData>
  <sheetProtection sheet="1" formatCells="0" formatColumns="0" formatRows="0"/>
  <mergeCells count="43">
    <mergeCell ref="E43:F43"/>
    <mergeCell ref="G43:H43"/>
    <mergeCell ref="I36:K36"/>
    <mergeCell ref="E37:F37"/>
    <mergeCell ref="G37:H37"/>
    <mergeCell ref="C42:D42"/>
    <mergeCell ref="E42:H42"/>
    <mergeCell ref="I42:K42"/>
    <mergeCell ref="E25:F25"/>
    <mergeCell ref="G25:H25"/>
    <mergeCell ref="C30:D30"/>
    <mergeCell ref="E30:H30"/>
    <mergeCell ref="I30:K30"/>
    <mergeCell ref="A30:B30"/>
    <mergeCell ref="I6:K6"/>
    <mergeCell ref="C12:D12"/>
    <mergeCell ref="E12:H12"/>
    <mergeCell ref="I12:K12"/>
    <mergeCell ref="E13:F13"/>
    <mergeCell ref="G13:H13"/>
    <mergeCell ref="I18:K18"/>
    <mergeCell ref="E19:F19"/>
    <mergeCell ref="G19:H19"/>
    <mergeCell ref="C24:D24"/>
    <mergeCell ref="E24:H24"/>
    <mergeCell ref="I24:K24"/>
    <mergeCell ref="C6:D6"/>
    <mergeCell ref="A36:B36"/>
    <mergeCell ref="A42:B42"/>
    <mergeCell ref="B1:C1"/>
    <mergeCell ref="E31:F31"/>
    <mergeCell ref="G31:H31"/>
    <mergeCell ref="C36:D36"/>
    <mergeCell ref="E36:H36"/>
    <mergeCell ref="E6:H6"/>
    <mergeCell ref="E7:F7"/>
    <mergeCell ref="G7:H7"/>
    <mergeCell ref="C18:D18"/>
    <mergeCell ref="E18:H18"/>
    <mergeCell ref="A6:B6"/>
    <mergeCell ref="A12:B12"/>
    <mergeCell ref="A18:B18"/>
    <mergeCell ref="A24:B2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52"/>
  <sheetViews>
    <sheetView zoomScaleNormal="100" workbookViewId="0">
      <selection activeCell="F39" sqref="F39"/>
    </sheetView>
  </sheetViews>
  <sheetFormatPr defaultRowHeight="12.75" x14ac:dyDescent="0.2"/>
  <cols>
    <col min="1" max="4" width="9.7109375" customWidth="1"/>
    <col min="5" max="5" width="10" customWidth="1"/>
    <col min="6" max="7" width="9.7109375" customWidth="1"/>
    <col min="8" max="9" width="9.140625" customWidth="1"/>
    <col min="10" max="10" width="9.140625" hidden="1" customWidth="1"/>
    <col min="11" max="13" width="0" hidden="1" customWidth="1"/>
  </cols>
  <sheetData>
    <row r="1" spans="1:24" ht="12.75" customHeight="1" x14ac:dyDescent="0.2">
      <c r="A1" s="7" t="s">
        <v>237</v>
      </c>
      <c r="B1" s="327"/>
      <c r="C1" s="327"/>
      <c r="D1" s="327"/>
      <c r="E1" s="327"/>
      <c r="J1" s="326"/>
    </row>
    <row r="2" spans="1:24" ht="12.75" customHeight="1" x14ac:dyDescent="0.2">
      <c r="A2" s="328" t="s">
        <v>192</v>
      </c>
      <c r="B2" s="327"/>
      <c r="C2" s="327"/>
      <c r="D2" s="327"/>
      <c r="E2" s="199"/>
      <c r="J2" s="326"/>
    </row>
    <row r="3" spans="1:24" ht="12.75" customHeight="1" x14ac:dyDescent="0.2">
      <c r="A3" s="7"/>
      <c r="B3" s="199"/>
      <c r="C3" s="199"/>
      <c r="D3" s="199"/>
      <c r="E3" s="199"/>
    </row>
    <row r="4" spans="1:24" ht="12.75" customHeight="1" x14ac:dyDescent="0.2">
      <c r="A4" s="19"/>
      <c r="B4" s="19"/>
      <c r="C4" s="19"/>
      <c r="D4" s="19"/>
      <c r="E4" s="19"/>
      <c r="F4" s="19"/>
      <c r="G4" s="19"/>
    </row>
    <row r="5" spans="1:24" ht="12.75" customHeight="1" x14ac:dyDescent="0.2">
      <c r="A5" s="687" t="s">
        <v>157</v>
      </c>
      <c r="B5" s="688"/>
      <c r="C5" s="688"/>
      <c r="D5" s="688"/>
      <c r="E5" s="688"/>
      <c r="F5" s="688"/>
      <c r="G5" s="689"/>
      <c r="H5" s="19"/>
      <c r="I5" s="19"/>
    </row>
    <row r="6" spans="1:24" ht="12.75" customHeight="1" x14ac:dyDescent="0.2">
      <c r="A6" s="310" t="s">
        <v>147</v>
      </c>
      <c r="B6" s="311"/>
      <c r="C6" s="311"/>
      <c r="D6" s="311"/>
      <c r="E6" s="311"/>
      <c r="F6" s="311"/>
      <c r="G6" s="312"/>
      <c r="H6" s="19"/>
      <c r="I6" s="19"/>
    </row>
    <row r="7" spans="1:24" ht="12.75" customHeight="1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24" ht="12.75" customHeight="1" x14ac:dyDescent="0.2">
      <c r="A8" s="650" t="s">
        <v>310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24" ht="12.75" customHeight="1" x14ac:dyDescent="0.2">
      <c r="A9" s="19"/>
      <c r="B9" s="675" t="s">
        <v>4</v>
      </c>
      <c r="C9" s="676"/>
      <c r="D9" s="676"/>
      <c r="E9" s="677"/>
      <c r="F9" s="675" t="s">
        <v>173</v>
      </c>
      <c r="G9" s="677"/>
      <c r="H9" s="19"/>
      <c r="I9" s="19"/>
      <c r="K9" s="19"/>
      <c r="L9" s="19"/>
      <c r="M9" s="19"/>
      <c r="N9" s="19"/>
      <c r="O9" s="19"/>
    </row>
    <row r="10" spans="1:24" ht="12.75" customHeight="1" x14ac:dyDescent="0.2">
      <c r="A10" s="302" t="s">
        <v>107</v>
      </c>
      <c r="B10" s="300" t="s">
        <v>171</v>
      </c>
      <c r="C10" s="303" t="s">
        <v>31</v>
      </c>
      <c r="D10" s="303" t="s">
        <v>26</v>
      </c>
      <c r="E10" s="299" t="s">
        <v>2</v>
      </c>
      <c r="F10" s="685" t="s">
        <v>12</v>
      </c>
      <c r="G10" s="686"/>
      <c r="J10" s="101" t="s">
        <v>175</v>
      </c>
      <c r="K10" s="19"/>
      <c r="L10" s="19"/>
      <c r="M10" s="19"/>
      <c r="N10" s="19"/>
      <c r="O10" s="610"/>
      <c r="P10" s="610"/>
      <c r="Q10" s="610"/>
      <c r="R10" s="610"/>
      <c r="S10" s="610"/>
      <c r="T10" s="610"/>
      <c r="U10" s="610"/>
      <c r="V10" s="610"/>
      <c r="W10" s="610"/>
      <c r="X10" s="610"/>
    </row>
    <row r="11" spans="1:24" ht="12.75" customHeight="1" x14ac:dyDescent="0.2">
      <c r="A11" s="35" t="str">
        <f>"2"</f>
        <v>2</v>
      </c>
      <c r="B11" s="234">
        <v>12776</v>
      </c>
      <c r="C11" s="386">
        <v>196.7</v>
      </c>
      <c r="D11" s="391">
        <v>38.1</v>
      </c>
      <c r="E11" s="387">
        <f>IF(J11,D11/SQRT(B11),"")</f>
        <v>0.33707576133437483</v>
      </c>
      <c r="F11" s="387">
        <f>IF(L11,C11-1.96*E11,"")</f>
        <v>196.03933150778462</v>
      </c>
      <c r="G11" s="217">
        <f>IF(L11,C11+1.96*E11,"")</f>
        <v>197.36066849221535</v>
      </c>
      <c r="J11" s="19" t="b">
        <f>AND(B11&gt;0,INT(B11)=B11,D11&gt;0)</f>
        <v>1</v>
      </c>
      <c r="K11" s="19" t="b">
        <f>NOT(ISBLANK(C11))</f>
        <v>1</v>
      </c>
      <c r="L11" s="19" t="b">
        <f>AND(J11,K11)</f>
        <v>1</v>
      </c>
      <c r="M11" s="19"/>
      <c r="N11" s="19"/>
      <c r="O11" s="610"/>
      <c r="P11" s="610"/>
      <c r="Q11" s="610"/>
      <c r="R11" s="610"/>
      <c r="S11" s="610"/>
      <c r="T11" s="610"/>
      <c r="U11" s="610"/>
      <c r="V11" s="610"/>
      <c r="W11" s="610"/>
      <c r="X11" s="610"/>
    </row>
    <row r="12" spans="1:24" ht="12.75" customHeight="1" x14ac:dyDescent="0.2">
      <c r="A12" s="29" t="str">
        <f>"1 (Ref)"</f>
        <v>1 (Ref)</v>
      </c>
      <c r="B12" s="235">
        <v>40415</v>
      </c>
      <c r="C12" s="388">
        <v>194.1</v>
      </c>
      <c r="D12" s="388">
        <v>35.9</v>
      </c>
      <c r="E12" s="390">
        <f>IF(J12,D12/SQRT(B12),"")</f>
        <v>0.1785760272290989</v>
      </c>
      <c r="F12" s="367">
        <f>IF(L12,C12-1.96*E12,"")</f>
        <v>193.74999098663096</v>
      </c>
      <c r="G12" s="195">
        <f>IF(L12,C12+1.96*E12,"")</f>
        <v>194.45000901336903</v>
      </c>
      <c r="J12" s="19" t="b">
        <f>AND(B12&gt;0,INT(B12)=B12,D12&gt;0)</f>
        <v>1</v>
      </c>
      <c r="K12" s="19" t="b">
        <f>NOT(ISBLANK(C12))</f>
        <v>1</v>
      </c>
      <c r="L12" s="19" t="b">
        <f>AND(J12,K12)</f>
        <v>1</v>
      </c>
      <c r="M12" s="19"/>
      <c r="N12" s="19"/>
      <c r="O12" s="610"/>
      <c r="P12" s="610"/>
      <c r="Q12" s="610"/>
      <c r="R12" s="610"/>
      <c r="S12" s="610"/>
      <c r="T12" s="610"/>
      <c r="U12" s="610"/>
      <c r="V12" s="610"/>
      <c r="W12" s="610"/>
      <c r="X12" s="610"/>
    </row>
    <row r="13" spans="1:24" ht="12.75" customHeight="1" x14ac:dyDescent="0.2">
      <c r="A13" s="97" t="s">
        <v>36</v>
      </c>
      <c r="B13" s="47">
        <f>IF(J17,B11+B12,"")</f>
        <v>53191</v>
      </c>
      <c r="C13" s="372">
        <f>IF(L17,(B11*C11+B12*C12)/B13,"")</f>
        <v>194.72449662536894</v>
      </c>
      <c r="D13" s="394"/>
      <c r="E13" s="394"/>
      <c r="F13" s="394"/>
      <c r="G13" s="395"/>
      <c r="H13" s="19"/>
      <c r="J13" s="19"/>
      <c r="K13" s="19"/>
      <c r="L13" s="19"/>
      <c r="M13" s="19"/>
      <c r="N13" s="19"/>
      <c r="O13" s="610"/>
      <c r="P13" s="610"/>
      <c r="Q13" s="610"/>
      <c r="R13" s="610"/>
      <c r="S13" s="610"/>
      <c r="T13" s="610"/>
      <c r="U13" s="610"/>
      <c r="V13" s="610"/>
      <c r="W13" s="610"/>
      <c r="X13" s="610"/>
    </row>
    <row r="14" spans="1:24" ht="12.75" customHeight="1" x14ac:dyDescent="0.2">
      <c r="A14" s="34"/>
      <c r="B14" s="42"/>
      <c r="C14" s="25"/>
      <c r="D14" s="34"/>
      <c r="E14" s="25"/>
      <c r="F14" s="25"/>
      <c r="G14" s="25"/>
      <c r="H14" s="19"/>
      <c r="J14" s="19"/>
      <c r="K14" s="19"/>
      <c r="L14" s="19"/>
      <c r="M14" s="19"/>
      <c r="N14" s="19"/>
      <c r="O14" s="19"/>
    </row>
    <row r="15" spans="1:24" ht="12.75" customHeight="1" x14ac:dyDescent="0.2">
      <c r="A15" s="19"/>
      <c r="B15" s="135" t="s">
        <v>327</v>
      </c>
      <c r="D15" s="19"/>
      <c r="E15" s="19"/>
      <c r="F15" s="19"/>
      <c r="J15" s="19"/>
      <c r="K15" s="19"/>
      <c r="L15" s="19"/>
      <c r="M15" s="19"/>
      <c r="N15" s="19"/>
      <c r="O15" s="19"/>
    </row>
    <row r="16" spans="1:24" ht="12.75" customHeight="1" x14ac:dyDescent="0.2">
      <c r="A16" s="19"/>
      <c r="B16" s="647" t="s">
        <v>304</v>
      </c>
      <c r="C16" s="647" t="s">
        <v>2</v>
      </c>
      <c r="D16" s="684" t="s">
        <v>12</v>
      </c>
      <c r="E16" s="684"/>
      <c r="F16" s="647" t="s">
        <v>143</v>
      </c>
      <c r="G16" s="647" t="s">
        <v>32</v>
      </c>
      <c r="H16" s="647" t="s">
        <v>33</v>
      </c>
      <c r="J16" s="19"/>
      <c r="K16" s="19"/>
      <c r="L16" s="19"/>
      <c r="M16" s="19"/>
      <c r="N16" s="19"/>
      <c r="O16" s="19"/>
    </row>
    <row r="17" spans="1:15" ht="12.75" customHeight="1" x14ac:dyDescent="0.2">
      <c r="A17" s="19"/>
      <c r="B17" s="129">
        <f>IF(K17,C11-C12,"")</f>
        <v>2.5999999999999943</v>
      </c>
      <c r="C17" s="129">
        <f>IF(J17,SQRT(E11^2 + E12^2),"")</f>
        <v>0.3814570308436801</v>
      </c>
      <c r="D17" s="129">
        <f>IF(L17,B17-1.96*C17,"")</f>
        <v>1.8523442195463813</v>
      </c>
      <c r="E17" s="129">
        <f>IF(L17,B17+1.96*C17,"")</f>
        <v>3.3476557804536071</v>
      </c>
      <c r="F17" s="370">
        <v>0</v>
      </c>
      <c r="G17" s="123">
        <f>IF(M17,(B17-F17)/C17,"")</f>
        <v>6.8159708427696177</v>
      </c>
      <c r="H17" s="649" t="str">
        <f>IF(M17,IF(2*(_xlfn.NORM.DIST(-ABS(G17),0,1,TRUE))&gt;=0.001,2*(_xlfn.NORM.DIST(-ABS(G17),0,1,TRUE)),"&lt;0.001"),"")</f>
        <v>&lt;0.001</v>
      </c>
      <c r="J17" s="19" t="b">
        <f>AND(J11,J12)</f>
        <v>1</v>
      </c>
      <c r="K17" s="19" t="b">
        <f>AND(K11,K12)</f>
        <v>1</v>
      </c>
      <c r="L17" s="19" t="b">
        <f>AND(L11,L12)</f>
        <v>1</v>
      </c>
      <c r="M17" s="19" t="b">
        <f>AND(L17,NOT(ISBLANK(F17)))</f>
        <v>1</v>
      </c>
      <c r="N17" s="19"/>
      <c r="O17" s="19"/>
    </row>
    <row r="18" spans="1:15" ht="12.75" customHeight="1" x14ac:dyDescent="0.2">
      <c r="A18" s="182"/>
      <c r="B18" s="182"/>
      <c r="C18" s="182"/>
      <c r="D18" s="182"/>
      <c r="E18" s="182"/>
      <c r="F18" s="182"/>
      <c r="G18" s="182"/>
      <c r="H18" s="19"/>
      <c r="J18" s="19"/>
      <c r="K18" s="19"/>
      <c r="L18" s="19"/>
      <c r="M18" s="19"/>
      <c r="N18" s="19"/>
      <c r="O18" s="19"/>
    </row>
    <row r="19" spans="1:15" ht="12.75" customHeight="1" x14ac:dyDescent="0.2">
      <c r="A19" s="690" t="s">
        <v>313</v>
      </c>
      <c r="B19" s="690"/>
      <c r="C19" s="690"/>
      <c r="D19" s="690"/>
      <c r="E19" s="690"/>
      <c r="H19" s="19"/>
      <c r="J19" s="19"/>
      <c r="K19" s="19"/>
      <c r="L19" s="19"/>
      <c r="M19" s="19"/>
      <c r="N19" s="19"/>
      <c r="O19" s="19"/>
    </row>
    <row r="20" spans="1:15" ht="12.75" customHeight="1" x14ac:dyDescent="0.2">
      <c r="A20" s="19"/>
      <c r="B20" s="19"/>
      <c r="C20" s="19"/>
      <c r="D20" s="19"/>
      <c r="E20" s="33"/>
      <c r="F20" s="389"/>
      <c r="G20" s="34"/>
      <c r="H20" s="19"/>
      <c r="L20" s="19"/>
      <c r="M20" s="19"/>
      <c r="N20" s="19"/>
      <c r="O20" s="19"/>
    </row>
    <row r="21" spans="1:15" ht="12.75" customHeight="1" x14ac:dyDescent="0.2">
      <c r="A21" s="393" t="s">
        <v>193</v>
      </c>
      <c r="B21" s="393"/>
      <c r="C21" s="393"/>
      <c r="D21" s="320"/>
      <c r="E21" s="320"/>
      <c r="F21" s="19"/>
      <c r="G21" s="19"/>
      <c r="H21" s="19"/>
      <c r="J21" s="19"/>
      <c r="K21" s="19"/>
      <c r="L21" s="19"/>
      <c r="M21" s="19"/>
      <c r="N21" s="19"/>
      <c r="O21" s="19"/>
    </row>
    <row r="22" spans="1:15" ht="12.75" customHeight="1" x14ac:dyDescent="0.2">
      <c r="A22" s="639" t="s">
        <v>107</v>
      </c>
      <c r="B22" s="636" t="s">
        <v>26</v>
      </c>
      <c r="C22" s="646" t="s">
        <v>35</v>
      </c>
      <c r="D22" s="320"/>
      <c r="E22" s="320"/>
      <c r="F22" s="641"/>
      <c r="G22" s="641"/>
      <c r="J22" s="19" t="s">
        <v>208</v>
      </c>
      <c r="K22" s="19" t="s">
        <v>328</v>
      </c>
      <c r="L22" s="19"/>
      <c r="M22" s="19"/>
      <c r="N22" s="19"/>
      <c r="O22" s="19"/>
    </row>
    <row r="23" spans="1:15" ht="12.75" customHeight="1" x14ac:dyDescent="0.2">
      <c r="A23" s="35" t="str">
        <f>"2"</f>
        <v>2</v>
      </c>
      <c r="B23" s="115">
        <f>IF(J11,D11,"")</f>
        <v>38.1</v>
      </c>
      <c r="C23" s="36">
        <f>IF(J11,B11-1,"")</f>
        <v>12775</v>
      </c>
      <c r="D23" s="320"/>
      <c r="E23" s="320"/>
      <c r="F23" s="19"/>
      <c r="G23" s="19"/>
      <c r="J23" s="19">
        <f>IF(B23&lt;&gt;B24,IF(B23&gt;B24,C23,C24),MIN(C23,C24))</f>
        <v>12775</v>
      </c>
      <c r="K23" s="19">
        <f>IF(B23&lt;&gt;B24,IF(B23&lt;B24,C23,C24),MAX(C23,C24))</f>
        <v>40414</v>
      </c>
      <c r="N23" s="19"/>
      <c r="O23" s="19"/>
    </row>
    <row r="24" spans="1:15" ht="12.75" customHeight="1" x14ac:dyDescent="0.2">
      <c r="A24" s="29" t="str">
        <f>"1 (Ref)"</f>
        <v>1 (Ref)</v>
      </c>
      <c r="B24" s="367">
        <f>IF(J12,D12,"")</f>
        <v>35.9</v>
      </c>
      <c r="C24" s="454">
        <f>IF(J12,B12-1,"")</f>
        <v>40414</v>
      </c>
      <c r="D24" s="320"/>
      <c r="E24" s="320"/>
      <c r="F24" s="19"/>
      <c r="G24" s="641"/>
      <c r="N24" s="19"/>
      <c r="O24" s="19"/>
    </row>
    <row r="25" spans="1:15" ht="12.75" customHeight="1" x14ac:dyDescent="0.2">
      <c r="A25" s="428"/>
      <c r="B25" s="25"/>
      <c r="C25" s="428"/>
      <c r="D25" s="320"/>
      <c r="E25" s="320"/>
      <c r="F25" s="642"/>
      <c r="G25" s="19"/>
      <c r="H25" s="396"/>
      <c r="J25" s="396"/>
      <c r="K25" s="19"/>
      <c r="L25" s="19"/>
      <c r="M25" s="19"/>
      <c r="N25" s="19"/>
      <c r="O25" s="19"/>
    </row>
    <row r="26" spans="1:15" ht="12.75" customHeight="1" x14ac:dyDescent="0.2">
      <c r="A26" s="428"/>
      <c r="B26" s="683" t="s">
        <v>329</v>
      </c>
      <c r="C26" s="683"/>
      <c r="D26" s="683"/>
      <c r="E26" s="26"/>
      <c r="F26" s="389"/>
      <c r="G26" s="19"/>
      <c r="H26" s="396"/>
      <c r="J26" s="396"/>
      <c r="K26" s="19"/>
      <c r="L26" s="19"/>
      <c r="M26" s="19"/>
      <c r="N26" s="19"/>
      <c r="O26" s="19"/>
    </row>
    <row r="27" spans="1:15" ht="12.75" customHeight="1" x14ac:dyDescent="0.2">
      <c r="A27" s="19"/>
      <c r="B27" s="647" t="s">
        <v>114</v>
      </c>
      <c r="C27" s="647" t="s">
        <v>143</v>
      </c>
      <c r="D27" s="647" t="s">
        <v>207</v>
      </c>
      <c r="E27" s="647" t="s">
        <v>33</v>
      </c>
      <c r="F27" s="19"/>
      <c r="H27" s="396"/>
      <c r="J27" s="396"/>
      <c r="K27" s="19"/>
      <c r="L27" s="19"/>
      <c r="M27" s="19"/>
      <c r="N27" s="19"/>
      <c r="O27" s="19"/>
    </row>
    <row r="28" spans="1:15" ht="12.75" customHeight="1" x14ac:dyDescent="0.2">
      <c r="A28" s="19"/>
      <c r="B28" s="123">
        <f>IF(J17,B23/B24,"")</f>
        <v>1.0612813370473539</v>
      </c>
      <c r="C28" s="226">
        <v>1</v>
      </c>
      <c r="D28" s="123">
        <f>(B23^2/B24^2)*(1/C28^2)</f>
        <v>1.1263180763650191</v>
      </c>
      <c r="E28" s="123" t="str">
        <f>IF(D28&gt;1,IF(J17,IF(2*(1-_xlfn.F.DIST(D28,J23,K23,TRUE))&gt;=0.001,2*(1-_xlfn.F.DIST(D28,J23,K23,TRUE)),"&lt;0.001"),""),IF(J17,IF(2*_xlfn.F.DIST(D28,K23,J23,TRUE)&gt;=0.001,2*_xlfn.F.DIST(D28,K23,J23,TRUE),"&lt;0.001"),""))</f>
        <v>&lt;0.001</v>
      </c>
      <c r="F28" s="19"/>
      <c r="H28" s="396"/>
      <c r="J28" s="396"/>
      <c r="K28" s="19"/>
      <c r="L28" s="19"/>
      <c r="M28" s="19"/>
      <c r="N28" s="19"/>
      <c r="O28" s="19"/>
    </row>
    <row r="29" spans="1:15" ht="12.75" customHeight="1" x14ac:dyDescent="0.2">
      <c r="B29" s="19"/>
      <c r="C29" s="19"/>
      <c r="D29" s="19"/>
      <c r="E29" s="19"/>
      <c r="F29" s="19"/>
      <c r="K29" s="19"/>
      <c r="L29" s="19"/>
      <c r="M29" s="19"/>
      <c r="N29" s="19"/>
      <c r="O29" s="19"/>
    </row>
    <row r="30" spans="1:15" ht="12.75" customHeight="1" x14ac:dyDescent="0.2">
      <c r="K30" s="19"/>
      <c r="L30" s="19"/>
      <c r="M30" s="19"/>
      <c r="N30" s="19"/>
      <c r="O30" s="19"/>
    </row>
    <row r="31" spans="1:15" ht="12.75" customHeight="1" x14ac:dyDescent="0.2">
      <c r="A31" s="638" t="s">
        <v>311</v>
      </c>
      <c r="B31" s="640"/>
      <c r="C31" s="426"/>
      <c r="D31" s="640"/>
      <c r="E31" s="19"/>
      <c r="F31" s="19"/>
      <c r="G31" s="19"/>
      <c r="H31" s="396"/>
      <c r="J31" s="396">
        <f>TINV(0.05,B33-1)</f>
        <v>1.9601496982136288</v>
      </c>
      <c r="K31" s="19"/>
      <c r="L31" s="19"/>
      <c r="M31" s="19"/>
      <c r="N31" s="19"/>
      <c r="O31" s="19"/>
    </row>
    <row r="32" spans="1:15" ht="12.75" customHeight="1" x14ac:dyDescent="0.2">
      <c r="A32" s="634" t="s">
        <v>107</v>
      </c>
      <c r="B32" s="37" t="s">
        <v>171</v>
      </c>
      <c r="C32" s="637" t="s">
        <v>31</v>
      </c>
      <c r="D32" s="37" t="s">
        <v>26</v>
      </c>
      <c r="E32" s="635" t="s">
        <v>2</v>
      </c>
      <c r="F32" s="634" t="s">
        <v>12</v>
      </c>
      <c r="G32" s="635"/>
      <c r="H32" s="396"/>
      <c r="J32" s="396">
        <f>TINV(0.05,B34-1)</f>
        <v>1.9600226855115026</v>
      </c>
      <c r="K32" s="19"/>
      <c r="L32" s="19"/>
      <c r="M32" s="19"/>
      <c r="N32" s="19"/>
      <c r="O32" s="19"/>
    </row>
    <row r="33" spans="1:15" ht="12.75" customHeight="1" x14ac:dyDescent="0.2">
      <c r="A33" s="35" t="str">
        <f>"2"</f>
        <v>2</v>
      </c>
      <c r="B33" s="397">
        <f>IF(L17,B11,"")</f>
        <v>12776</v>
      </c>
      <c r="C33" s="399">
        <f>IF(L17,C11,"")</f>
        <v>196.7</v>
      </c>
      <c r="D33" s="400">
        <f>IF(L17,D11,"")</f>
        <v>38.1</v>
      </c>
      <c r="E33" s="194">
        <f>IF(L17,E11,"")</f>
        <v>0.33707576133437483</v>
      </c>
      <c r="F33" s="387">
        <f>IF(L17,C33-J31*E33,"")</f>
        <v>196.03928104814528</v>
      </c>
      <c r="G33" s="217">
        <f>IF(L17,C33+J31*E33,"")</f>
        <v>197.36071895185469</v>
      </c>
      <c r="H33" s="396"/>
      <c r="J33" s="396">
        <f>TINV(0.05,H39)</f>
        <v>1.9600085863230989</v>
      </c>
      <c r="K33" s="19"/>
      <c r="L33" s="19"/>
      <c r="M33" s="19"/>
      <c r="N33" s="19"/>
      <c r="O33" s="19"/>
    </row>
    <row r="34" spans="1:15" ht="12.75" customHeight="1" x14ac:dyDescent="0.2">
      <c r="A34" s="29" t="str">
        <f>"1 (Ref)"</f>
        <v>1 (Ref)</v>
      </c>
      <c r="B34" s="398">
        <f>IF(L17,B12,"")</f>
        <v>40415</v>
      </c>
      <c r="C34" s="401">
        <f>IF(L17,C12,"")</f>
        <v>194.1</v>
      </c>
      <c r="D34" s="653">
        <f>IF(L17,D12,"")</f>
        <v>35.9</v>
      </c>
      <c r="E34" s="195">
        <f>IF(L17,E12,"")</f>
        <v>0.1785760272290989</v>
      </c>
      <c r="F34" s="367">
        <f>IF(L17,C34-J32*E34,"")</f>
        <v>193.74998693554244</v>
      </c>
      <c r="G34" s="195">
        <f>IF(L17,C34+J32*E34,"")</f>
        <v>194.45001306445755</v>
      </c>
      <c r="H34" s="396"/>
      <c r="I34" s="396"/>
      <c r="J34" s="19"/>
      <c r="K34" s="19"/>
      <c r="L34" s="19"/>
      <c r="M34" s="19"/>
      <c r="N34" s="19"/>
      <c r="O34" s="19"/>
    </row>
    <row r="35" spans="1:15" ht="12.75" customHeight="1" x14ac:dyDescent="0.2">
      <c r="A35" s="99" t="s">
        <v>36</v>
      </c>
      <c r="B35" s="38">
        <f>IF(L17,B13,"")</f>
        <v>53191</v>
      </c>
      <c r="C35" s="648">
        <f>IF(L17,C13,"")</f>
        <v>194.72449662536894</v>
      </c>
      <c r="D35" s="216">
        <f>IF(L17,SQRT(((B11-1)*D11^2+(B12-1)*D12^2)/(B13-2)),"")</f>
        <v>36.440520110866679</v>
      </c>
      <c r="E35" s="651"/>
      <c r="F35" s="652"/>
      <c r="G35" s="395"/>
      <c r="H35" s="396"/>
      <c r="I35" s="396"/>
      <c r="J35" s="19"/>
      <c r="K35" s="19"/>
      <c r="L35" s="19"/>
      <c r="M35" s="19"/>
      <c r="N35" s="19"/>
      <c r="O35" s="19"/>
    </row>
    <row r="36" spans="1:15" ht="12.75" customHeight="1" x14ac:dyDescent="0.2">
      <c r="A36" s="642"/>
      <c r="B36" s="42"/>
      <c r="C36" s="25"/>
      <c r="D36" s="29" t="s">
        <v>68</v>
      </c>
      <c r="E36" s="25"/>
      <c r="F36" s="25"/>
      <c r="G36" s="25"/>
      <c r="H36" s="396"/>
      <c r="I36" s="396"/>
      <c r="J36" s="19"/>
      <c r="K36" s="19"/>
      <c r="L36" s="19"/>
      <c r="M36" s="19"/>
      <c r="N36" s="19"/>
      <c r="O36" s="19"/>
    </row>
    <row r="37" spans="1:15" ht="12.75" customHeight="1" x14ac:dyDescent="0.2">
      <c r="A37" s="427"/>
      <c r="B37" s="135" t="s">
        <v>327</v>
      </c>
      <c r="C37" s="19"/>
      <c r="D37" s="19"/>
      <c r="E37" s="19"/>
      <c r="F37" s="19"/>
      <c r="G37" s="19"/>
      <c r="H37" s="396"/>
      <c r="I37" s="396"/>
      <c r="J37" s="19"/>
      <c r="K37" s="19"/>
      <c r="L37" s="19"/>
      <c r="M37" s="19"/>
      <c r="N37" s="19"/>
      <c r="O37" s="19"/>
    </row>
    <row r="38" spans="1:15" ht="12.75" customHeight="1" x14ac:dyDescent="0.2">
      <c r="A38" s="19"/>
      <c r="B38" s="647" t="s">
        <v>304</v>
      </c>
      <c r="C38" s="647" t="s">
        <v>2</v>
      </c>
      <c r="D38" s="684" t="s">
        <v>12</v>
      </c>
      <c r="E38" s="684"/>
      <c r="F38" s="647" t="s">
        <v>143</v>
      </c>
      <c r="G38" s="647" t="s">
        <v>49</v>
      </c>
      <c r="H38" s="647" t="s">
        <v>35</v>
      </c>
      <c r="I38" s="647" t="s">
        <v>33</v>
      </c>
      <c r="J38" s="19"/>
      <c r="K38" s="19"/>
      <c r="L38" s="19"/>
      <c r="M38" s="19"/>
      <c r="N38" s="19"/>
      <c r="O38" s="19"/>
    </row>
    <row r="39" spans="1:15" ht="12.75" customHeight="1" x14ac:dyDescent="0.2">
      <c r="B39" s="129">
        <f>IF(L17,B17,"")</f>
        <v>2.5999999999999943</v>
      </c>
      <c r="C39" s="129">
        <f>IF(L17,D35*SQRT(1/B33+1/B34),"")</f>
        <v>0.36985790168006816</v>
      </c>
      <c r="D39" s="129">
        <f>IF(L17,B39-J33*C39,"")</f>
        <v>1.8750753369876163</v>
      </c>
      <c r="E39" s="129">
        <f>IF(L17,B39+J33*C39,"")</f>
        <v>3.3249246630123723</v>
      </c>
      <c r="F39" s="370">
        <v>0</v>
      </c>
      <c r="G39" s="123">
        <f>IF(L17,(B39-F39)/C39,"")</f>
        <v>7.0297267901796179</v>
      </c>
      <c r="H39" s="38">
        <f>IF(L17,B35-2,"")</f>
        <v>53189</v>
      </c>
      <c r="I39" s="123" t="str">
        <f>IF(L17,IF(TDIST(ABS(G39), H39, 2)&gt;=0.001,TDIST(ABS(G39), H39, 2),"&lt;0.001"),"")</f>
        <v>&lt;0.001</v>
      </c>
      <c r="J39" s="19"/>
      <c r="K39" s="19"/>
      <c r="L39" s="19"/>
      <c r="M39" s="19"/>
      <c r="N39" s="19"/>
      <c r="O39" s="19"/>
    </row>
    <row r="40" spans="1:15" ht="12.75" customHeight="1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2.75" customHeight="1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2.75" customHeight="1" x14ac:dyDescent="0.2">
      <c r="A42" s="638" t="s">
        <v>312</v>
      </c>
      <c r="B42" s="640"/>
      <c r="C42" s="283"/>
      <c r="D42" s="26"/>
      <c r="E42" s="26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2.75" customHeight="1" x14ac:dyDescent="0.2">
      <c r="A43" s="634" t="s">
        <v>107</v>
      </c>
      <c r="B43" s="37" t="s">
        <v>171</v>
      </c>
      <c r="C43" s="637" t="s">
        <v>31</v>
      </c>
      <c r="D43" s="37" t="s">
        <v>26</v>
      </c>
      <c r="E43" s="37" t="s">
        <v>2</v>
      </c>
      <c r="F43" s="634" t="s">
        <v>12</v>
      </c>
      <c r="G43" s="635"/>
      <c r="H43" s="19"/>
      <c r="I43" s="19"/>
      <c r="J43" s="19"/>
      <c r="K43" s="19"/>
      <c r="L43" s="19"/>
      <c r="M43" s="19"/>
      <c r="N43" s="19"/>
      <c r="O43" s="19"/>
    </row>
    <row r="44" spans="1:15" ht="12.75" customHeight="1" x14ac:dyDescent="0.2">
      <c r="A44" s="35" t="str">
        <f>"2"</f>
        <v>2</v>
      </c>
      <c r="B44" s="39">
        <f>IF(L17,B11,"")</f>
        <v>12776</v>
      </c>
      <c r="C44" s="387">
        <f>IF(L17,C11,"")</f>
        <v>196.7</v>
      </c>
      <c r="D44" s="216">
        <f>IF(L17,D11,"")</f>
        <v>38.1</v>
      </c>
      <c r="E44" s="216">
        <f>IF(L17,E33,"")</f>
        <v>0.33707576133437483</v>
      </c>
      <c r="F44" s="387">
        <f>IF(L17,F33,"")</f>
        <v>196.03928104814528</v>
      </c>
      <c r="G44" s="217">
        <f>IF(L17,G33,"")</f>
        <v>197.36071895185469</v>
      </c>
      <c r="H44" s="19"/>
      <c r="J44" s="19">
        <f>TINV(0.05,H49)</f>
        <v>1.9600800344985667</v>
      </c>
      <c r="K44" s="19"/>
      <c r="L44" s="19"/>
      <c r="M44" s="19"/>
      <c r="N44" s="19"/>
      <c r="O44" s="19"/>
    </row>
    <row r="45" spans="1:15" ht="12.75" customHeight="1" x14ac:dyDescent="0.2">
      <c r="A45" s="29" t="str">
        <f>"1 (Ref)"</f>
        <v>1 (Ref)</v>
      </c>
      <c r="B45" s="28">
        <f>B34</f>
        <v>40415</v>
      </c>
      <c r="C45" s="367">
        <f>IF(L17,C12,"")</f>
        <v>194.1</v>
      </c>
      <c r="D45" s="197">
        <f>IF(L17,D12,"")</f>
        <v>35.9</v>
      </c>
      <c r="E45" s="197">
        <f>IF(L17,E34,"")</f>
        <v>0.1785760272290989</v>
      </c>
      <c r="F45" s="367">
        <f>IF(L17,F34,"")</f>
        <v>193.74998693554244</v>
      </c>
      <c r="G45" s="195">
        <f>IF(L17,G34,"")</f>
        <v>194.45001306445755</v>
      </c>
      <c r="H45" s="19"/>
      <c r="I45" s="19"/>
      <c r="K45" s="19"/>
      <c r="L45" s="19"/>
      <c r="M45" s="19"/>
      <c r="N45" s="19"/>
      <c r="O45" s="19"/>
    </row>
    <row r="46" spans="1:15" ht="12.75" customHeight="1" x14ac:dyDescent="0.2">
      <c r="A46" s="642"/>
      <c r="B46" s="44"/>
      <c r="C46" s="25"/>
      <c r="D46" s="26"/>
      <c r="E46" s="25"/>
      <c r="F46" s="43"/>
      <c r="G46" s="43"/>
      <c r="H46" s="19"/>
      <c r="I46" s="19"/>
      <c r="J46" s="19"/>
      <c r="K46" s="19"/>
      <c r="L46" s="19"/>
      <c r="M46" s="19"/>
      <c r="N46" s="19"/>
      <c r="O46" s="19"/>
    </row>
    <row r="47" spans="1:15" x14ac:dyDescent="0.2">
      <c r="A47" s="427"/>
      <c r="B47" s="135" t="s">
        <v>327</v>
      </c>
      <c r="C47" s="19"/>
      <c r="D47" s="19"/>
      <c r="E47" s="19"/>
      <c r="F47" s="19"/>
      <c r="G47" s="19"/>
      <c r="H47" s="19"/>
      <c r="I47" s="19"/>
    </row>
    <row r="48" spans="1:15" x14ac:dyDescent="0.2">
      <c r="A48" s="427"/>
      <c r="B48" s="647" t="s">
        <v>304</v>
      </c>
      <c r="C48" s="647" t="s">
        <v>2</v>
      </c>
      <c r="D48" s="684" t="s">
        <v>12</v>
      </c>
      <c r="E48" s="684"/>
      <c r="F48" s="647" t="s">
        <v>143</v>
      </c>
      <c r="G48" s="634" t="s">
        <v>49</v>
      </c>
      <c r="H48" s="636" t="s">
        <v>35</v>
      </c>
      <c r="I48" s="635" t="s">
        <v>33</v>
      </c>
    </row>
    <row r="49" spans="1:15" x14ac:dyDescent="0.2">
      <c r="B49" s="129">
        <f>IF(L17,B17,"")</f>
        <v>2.5999999999999943</v>
      </c>
      <c r="C49" s="129">
        <f>IF(L17,C17,"")</f>
        <v>0.3814570308436801</v>
      </c>
      <c r="D49" s="129">
        <f>IF(L17,B49-J44*C49,"")</f>
        <v>1.852313689824193</v>
      </c>
      <c r="E49" s="129">
        <f>IF(L17,B49+J44*C49,"")</f>
        <v>3.3476863101757957</v>
      </c>
      <c r="F49" s="370">
        <v>0</v>
      </c>
      <c r="G49" s="255">
        <f>IF(L17,(B49-F49)/C49,"")</f>
        <v>6.8159708427696177</v>
      </c>
      <c r="H49" s="40">
        <f>IF(L17,(E11^2+E12^2)^2/((D11^4)/(B11*B11*(B11-1))+(D12^4)/(B12*B12*(B12-1))),"")</f>
        <v>20443.324276421481</v>
      </c>
      <c r="I49" s="344" t="str">
        <f>IF(L17,IF(TDIST(ABS(G49),H49, 2)&gt;=0.001,TDIST(ABS(G49),H49, 2),"&lt;0.001"),"")</f>
        <v>&lt;0.001</v>
      </c>
      <c r="K49" s="19"/>
      <c r="L49" s="19"/>
      <c r="M49" s="19"/>
      <c r="N49" s="19"/>
      <c r="O49" s="19"/>
    </row>
    <row r="52" spans="1:15" x14ac:dyDescent="0.2">
      <c r="A52" s="19"/>
      <c r="B52" s="19"/>
      <c r="C52" s="19"/>
      <c r="D52" s="19"/>
      <c r="E52" s="19"/>
      <c r="F52" s="19"/>
      <c r="G52" s="19"/>
      <c r="H52" s="19"/>
      <c r="I52" s="19"/>
    </row>
  </sheetData>
  <sheetProtection sheet="1" formatCells="0" formatColumns="0" formatRows="0"/>
  <mergeCells count="9">
    <mergeCell ref="B26:D26"/>
    <mergeCell ref="D38:E38"/>
    <mergeCell ref="D48:E48"/>
    <mergeCell ref="F10:G10"/>
    <mergeCell ref="A5:G5"/>
    <mergeCell ref="B9:E9"/>
    <mergeCell ref="F9:G9"/>
    <mergeCell ref="A19:E19"/>
    <mergeCell ref="D16:E1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4"/>
  <sheetViews>
    <sheetView workbookViewId="0">
      <selection activeCell="Q38" sqref="Q38"/>
    </sheetView>
  </sheetViews>
  <sheetFormatPr defaultRowHeight="12.75" x14ac:dyDescent="0.2"/>
  <cols>
    <col min="1" max="1" width="8" customWidth="1"/>
    <col min="2" max="4" width="8.7109375" customWidth="1"/>
    <col min="5" max="5" width="9.42578125" customWidth="1"/>
    <col min="6" max="6" width="10.42578125" customWidth="1"/>
    <col min="7" max="10" width="8.7109375" customWidth="1"/>
    <col min="12" max="13" width="0" hidden="1" customWidth="1"/>
  </cols>
  <sheetData>
    <row r="1" spans="1:13" ht="12.75" customHeight="1" x14ac:dyDescent="0.2">
      <c r="A1" s="7" t="s">
        <v>233</v>
      </c>
      <c r="J1" s="326"/>
      <c r="K1" s="324"/>
    </row>
    <row r="2" spans="1:13" ht="12.75" customHeight="1" x14ac:dyDescent="0.2">
      <c r="A2" s="696" t="s">
        <v>322</v>
      </c>
      <c r="B2" s="696"/>
      <c r="C2" s="696"/>
      <c r="D2" s="696"/>
      <c r="E2" s="696"/>
      <c r="F2" s="696"/>
      <c r="G2" s="696"/>
      <c r="H2" s="696"/>
      <c r="I2" s="696"/>
      <c r="J2" s="326"/>
      <c r="K2" s="324"/>
    </row>
    <row r="3" spans="1:13" ht="12.75" customHeight="1" x14ac:dyDescent="0.2"/>
    <row r="4" spans="1:13" ht="12.75" customHeight="1" x14ac:dyDescent="0.2">
      <c r="A4" s="687" t="s">
        <v>155</v>
      </c>
      <c r="B4" s="688"/>
      <c r="C4" s="688"/>
      <c r="D4" s="688"/>
      <c r="E4" s="688"/>
      <c r="F4" s="688"/>
      <c r="G4" s="688"/>
      <c r="H4" s="689"/>
      <c r="I4" s="19"/>
      <c r="J4" s="19"/>
    </row>
    <row r="5" spans="1:13" ht="12.75" customHeight="1" x14ac:dyDescent="0.2">
      <c r="A5" s="693" t="s">
        <v>183</v>
      </c>
      <c r="B5" s="694"/>
      <c r="C5" s="694"/>
      <c r="D5" s="694"/>
      <c r="E5" s="694"/>
      <c r="F5" s="694"/>
      <c r="G5" s="694"/>
      <c r="H5" s="695"/>
      <c r="I5" s="19"/>
      <c r="J5" s="19"/>
    </row>
    <row r="6" spans="1:13" ht="12.7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3" ht="12.75" customHeight="1" x14ac:dyDescent="0.2">
      <c r="A7" s="691" t="s">
        <v>107</v>
      </c>
      <c r="B7" s="685" t="s">
        <v>4</v>
      </c>
      <c r="C7" s="685"/>
      <c r="D7" s="37"/>
      <c r="E7" s="675" t="s">
        <v>174</v>
      </c>
      <c r="F7" s="677"/>
      <c r="G7" s="675" t="s">
        <v>172</v>
      </c>
      <c r="H7" s="676"/>
      <c r="I7" s="676"/>
      <c r="J7" s="677"/>
    </row>
    <row r="8" spans="1:13" ht="12.75" customHeight="1" x14ac:dyDescent="0.2">
      <c r="A8" s="692"/>
      <c r="B8" s="290" t="s">
        <v>0</v>
      </c>
      <c r="C8" s="290" t="s">
        <v>182</v>
      </c>
      <c r="D8" s="293" t="s">
        <v>36</v>
      </c>
      <c r="E8" s="86" t="s">
        <v>15</v>
      </c>
      <c r="F8" s="87" t="s">
        <v>2</v>
      </c>
      <c r="G8" s="697" t="s">
        <v>54</v>
      </c>
      <c r="H8" s="698"/>
      <c r="I8" s="706" t="s">
        <v>52</v>
      </c>
      <c r="J8" s="707"/>
      <c r="L8" s="1" t="s">
        <v>175</v>
      </c>
      <c r="M8" s="288" t="s">
        <v>175</v>
      </c>
    </row>
    <row r="9" spans="1:13" ht="12.75" customHeight="1" x14ac:dyDescent="0.2">
      <c r="A9" s="35" t="str">
        <f>"2"</f>
        <v>2</v>
      </c>
      <c r="B9" s="88">
        <v>262</v>
      </c>
      <c r="C9" s="89">
        <f>12776-262</f>
        <v>12514</v>
      </c>
      <c r="D9" s="187">
        <f>SUM(B9:C9)</f>
        <v>12776</v>
      </c>
      <c r="E9" s="196">
        <f>IF(L9,B9/D9,"")</f>
        <v>2.0507201001878521E-2</v>
      </c>
      <c r="F9" s="91">
        <f>IF(L9,SQRT(B9*C9/D9^3),"")</f>
        <v>1.253881129053851E-3</v>
      </c>
      <c r="G9" s="91">
        <f>IF(L9,E9-1.96*F9,"")</f>
        <v>1.8049593988932973E-2</v>
      </c>
      <c r="H9" s="115">
        <f>IF(L9,E9+1.96*F9,"")</f>
        <v>2.2964808014824069E-2</v>
      </c>
      <c r="I9" s="366">
        <f>IF(L9,B9/(B9+(C9+1)*FINV(0.025,2*C9+2,2*B9)),"")</f>
        <v>1.8120204397196121E-2</v>
      </c>
      <c r="J9" s="217">
        <f>IF(L9,(B9+1)/(B9+1+C9/FINV(0.025,2*B9+2,2*C9)),"")</f>
        <v>2.3115972667309373E-2</v>
      </c>
      <c r="L9" t="b">
        <f>AND(B9&gt;0,INT(B9)=B9,C9&gt;0,INT(C9)=C9)</f>
        <v>1</v>
      </c>
      <c r="M9" t="b">
        <f>AND(L9,L10)</f>
        <v>1</v>
      </c>
    </row>
    <row r="10" spans="1:13" ht="12.75" customHeight="1" x14ac:dyDescent="0.2">
      <c r="A10" s="29" t="str">
        <f>"1 (Ref)"</f>
        <v>1 (Ref)</v>
      </c>
      <c r="B10" s="93">
        <v>534</v>
      </c>
      <c r="C10" s="94">
        <f>40415-534</f>
        <v>39881</v>
      </c>
      <c r="D10" s="187">
        <f>SUM(B10:C10)</f>
        <v>40415</v>
      </c>
      <c r="E10" s="197">
        <f>IF(L10,B10/D10,"")</f>
        <v>1.3212915996535939E-2</v>
      </c>
      <c r="F10" s="218">
        <f>IF(L10,SQRT(B10*C10/D10^3),"")</f>
        <v>5.6798880197041419E-4</v>
      </c>
      <c r="G10" s="218">
        <f>IF(L10,E10-1.96*F10,"")</f>
        <v>1.2099657944673927E-2</v>
      </c>
      <c r="H10" s="367">
        <f>IF(L10,E10+1.96*F10,"")</f>
        <v>1.4326174048397951E-2</v>
      </c>
      <c r="I10" s="218">
        <f>IF(L10,B10/(B10+(C10+1)*FINV(0.025,2*C10+2,2*B10)),"")</f>
        <v>1.2122386917674201E-2</v>
      </c>
      <c r="J10" s="195">
        <f>IF(L10,(B10+1)/(B10+1+C10/FINV(0.025,2*B10+2,2*C10)),"")</f>
        <v>1.4374186592422405E-2</v>
      </c>
      <c r="L10" s="289" t="b">
        <f>AND(B10&gt;0,INT(B10)=B10,C10&gt;0,INT(C10)=C10)</f>
        <v>1</v>
      </c>
    </row>
    <row r="11" spans="1:13" ht="12.75" customHeight="1" x14ac:dyDescent="0.2">
      <c r="A11" s="293" t="s">
        <v>36</v>
      </c>
      <c r="B11" s="188">
        <f>SUM(B9:B10)</f>
        <v>796</v>
      </c>
      <c r="C11" s="188">
        <f>SUM(C9:C10)</f>
        <v>52395</v>
      </c>
      <c r="D11" s="67">
        <f>SUM(D9:D10)</f>
        <v>53191</v>
      </c>
      <c r="E11" s="197">
        <f>IF(L11,B11/D11,"")</f>
        <v>1.4964937677426631E-2</v>
      </c>
      <c r="F11" s="218">
        <f>IF(L11,SQRT(B11*C11/D11^3),"")</f>
        <v>5.2643435488031979E-4</v>
      </c>
      <c r="G11" s="218">
        <f>IF(L11,E11-1.96*F11,"")</f>
        <v>1.3933126341861205E-2</v>
      </c>
      <c r="H11" s="195">
        <f>IF(L11,E11+1.96*F11,"")</f>
        <v>1.5996749012992056E-2</v>
      </c>
      <c r="I11" s="218">
        <f>IF(L11,B11/(B11+(C11+1)*FINV(0.025,2*C11+2,2*B11)),"")</f>
        <v>1.3950277508412648E-2</v>
      </c>
      <c r="J11" s="195">
        <f>IF(L11,(B11+1)/(B11+1+C11/FINV(0.025,2*B11+2,2*C11)),"")</f>
        <v>1.6033016235675542E-2</v>
      </c>
      <c r="K11" s="289"/>
      <c r="L11" s="289" t="b">
        <f>AND(B11&gt;0,INT(B11)=B11,C11&gt;0,INT(C11)=C11)</f>
        <v>1</v>
      </c>
    </row>
    <row r="12" spans="1:13" ht="12.75" customHeight="1" x14ac:dyDescent="0.2">
      <c r="A12" s="19"/>
      <c r="B12" s="19"/>
      <c r="C12" s="19"/>
      <c r="D12" s="295"/>
      <c r="E12" s="708" t="s">
        <v>189</v>
      </c>
      <c r="F12" s="709"/>
      <c r="G12" s="709"/>
      <c r="H12" s="709"/>
      <c r="I12" s="709"/>
      <c r="J12" s="710"/>
    </row>
    <row r="13" spans="1:13" ht="12.75" customHeight="1" x14ac:dyDescent="0.2">
      <c r="A13" s="19"/>
      <c r="B13" s="19"/>
      <c r="C13" s="19"/>
      <c r="D13" s="296"/>
      <c r="E13" s="19"/>
      <c r="F13" s="19"/>
      <c r="G13" s="19"/>
      <c r="H13" s="19"/>
      <c r="I13" s="19"/>
      <c r="J13" s="19"/>
    </row>
    <row r="14" spans="1:13" ht="12.75" customHeight="1" x14ac:dyDescent="0.2">
      <c r="A14" s="19"/>
      <c r="B14" s="701" t="s">
        <v>323</v>
      </c>
      <c r="C14" s="701"/>
      <c r="D14" s="701"/>
      <c r="E14" s="107"/>
      <c r="F14" s="19"/>
      <c r="G14" s="19"/>
      <c r="H14" s="19"/>
      <c r="I14" s="19"/>
      <c r="J14" s="19"/>
    </row>
    <row r="15" spans="1:13" ht="12.75" customHeight="1" x14ac:dyDescent="0.2">
      <c r="A15" s="19"/>
      <c r="B15" s="97" t="s">
        <v>11</v>
      </c>
      <c r="C15" s="98" t="s">
        <v>2</v>
      </c>
      <c r="D15" s="684" t="s">
        <v>54</v>
      </c>
      <c r="E15" s="684"/>
      <c r="F15" s="252" t="s">
        <v>143</v>
      </c>
      <c r="G15" s="252" t="s">
        <v>32</v>
      </c>
      <c r="H15" s="293" t="s">
        <v>33</v>
      </c>
      <c r="I15" s="19"/>
      <c r="J15" s="19"/>
    </row>
    <row r="16" spans="1:13" ht="12.75" customHeight="1" x14ac:dyDescent="0.2">
      <c r="A16" s="19"/>
      <c r="B16" s="197">
        <f>IF(M9,E9-E10,"")</f>
        <v>7.2942850053425816E-3</v>
      </c>
      <c r="C16" s="367">
        <f>IF(M9,SQRT(F9^2+F10^2),"")</f>
        <v>1.3765279383147829E-3</v>
      </c>
      <c r="D16" s="218">
        <f>IF(M9,B16-1.96*C16,"")</f>
        <v>4.5962902462456066E-3</v>
      </c>
      <c r="E16" s="195">
        <f>IF(M9,B16+1.96*C16,"")</f>
        <v>9.9922797644395565E-3</v>
      </c>
      <c r="F16" s="370">
        <v>0</v>
      </c>
      <c r="G16" s="123">
        <f>IF(M16,(B16-F16)/C16,"")</f>
        <v>5.2990461016524115</v>
      </c>
      <c r="H16" s="369" t="str">
        <f>IF(M16,IF(2*_xlfn.NORM.DIST(-ABS(G16),0,1,TRUE)&gt;=0.001,2*_xlfn.NORM.DIST(-ABS(G16),0,1,TRUE),"&lt;0.001"),"")</f>
        <v>&lt;0.001</v>
      </c>
      <c r="I16" s="19"/>
      <c r="J16" s="19"/>
      <c r="M16" t="b">
        <f>AND(M9,NOT(ISBLANK(F16)))</f>
        <v>1</v>
      </c>
    </row>
    <row r="17" spans="1:13" ht="12.7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3" ht="12.75" customHeight="1" x14ac:dyDescent="0.2">
      <c r="A18" s="19"/>
      <c r="B18" s="700" t="s">
        <v>324</v>
      </c>
      <c r="C18" s="700"/>
      <c r="D18" s="700"/>
      <c r="E18" s="96"/>
      <c r="F18" s="19"/>
      <c r="G18" s="19"/>
      <c r="H18" s="19"/>
      <c r="I18" s="19"/>
      <c r="J18" s="19"/>
    </row>
    <row r="19" spans="1:13" ht="12.75" customHeight="1" x14ac:dyDescent="0.2">
      <c r="A19" s="19"/>
      <c r="B19" s="97" t="s">
        <v>5</v>
      </c>
      <c r="C19" s="98" t="s">
        <v>2</v>
      </c>
      <c r="D19" s="684" t="s">
        <v>54</v>
      </c>
      <c r="E19" s="684"/>
      <c r="F19" s="252" t="s">
        <v>143</v>
      </c>
      <c r="G19" s="252" t="s">
        <v>32</v>
      </c>
      <c r="H19" s="293" t="s">
        <v>33</v>
      </c>
      <c r="I19" s="19"/>
      <c r="J19" s="19"/>
    </row>
    <row r="20" spans="1:13" ht="12.75" customHeight="1" x14ac:dyDescent="0.2">
      <c r="A20" s="19"/>
      <c r="B20" s="102">
        <f>IF(M9,E9/E10,"")</f>
        <v>1.5520571694586525</v>
      </c>
      <c r="C20" s="367"/>
      <c r="D20" s="70">
        <f>IF(M9,EXP(D21),"")</f>
        <v>1.3405580736647198</v>
      </c>
      <c r="E20" s="104">
        <f>IF(M9,EXP(E21),"")</f>
        <v>1.7969243590341297</v>
      </c>
      <c r="F20" s="492">
        <v>1</v>
      </c>
      <c r="G20" s="123"/>
      <c r="H20" s="369" t="str">
        <f>IF(M20,IF(2*_xlfn.NORM.DIST(-ABS(G21),0,1,TRUE)&gt;=0.001,2*_xlfn.NORM.DIST(-ABS(G21),0,1,TRUE),"&lt;0.001"),"")</f>
        <v>&lt;0.001</v>
      </c>
      <c r="I20" s="19"/>
      <c r="J20" s="19"/>
      <c r="M20" t="b">
        <f>AND(M9,NOT(ISBLANK(F20)))</f>
        <v>1</v>
      </c>
    </row>
    <row r="21" spans="1:13" ht="12.75" customHeight="1" x14ac:dyDescent="0.2">
      <c r="A21" s="19"/>
      <c r="B21" s="106">
        <f>IF(M9,LN(B20),"")</f>
        <v>0.43958125707399831</v>
      </c>
      <c r="C21" s="106">
        <f>IF(M9,SQRT(1/B9+1/B10-1/D9-1/D10),"")</f>
        <v>7.4742478024397555E-2</v>
      </c>
      <c r="D21" s="106">
        <f>IF(M9,B21-1.96*C21,"")</f>
        <v>0.29308600014617914</v>
      </c>
      <c r="E21" s="106">
        <f>IF(M9,B21+1.96*C21,"")</f>
        <v>0.58607651400181748</v>
      </c>
      <c r="F21" s="106">
        <f>IF(M20,LN(F20),"")</f>
        <v>0</v>
      </c>
      <c r="G21" s="371">
        <f>IF(M20,(B21-F21)/C21,"")</f>
        <v>5.8812775371256691</v>
      </c>
      <c r="H21" s="371"/>
      <c r="I21" s="19"/>
      <c r="J21" s="19"/>
    </row>
    <row r="22" spans="1:13" ht="12.75" customHeight="1" x14ac:dyDescent="0.2">
      <c r="A22" s="19"/>
      <c r="B22" s="108"/>
      <c r="C22" s="108"/>
      <c r="D22" s="108"/>
      <c r="E22" s="108"/>
      <c r="F22" s="107"/>
      <c r="G22" s="107"/>
      <c r="H22" s="19"/>
      <c r="I22" s="19"/>
      <c r="J22" s="19"/>
    </row>
    <row r="23" spans="1:13" ht="12.75" customHeight="1" x14ac:dyDescent="0.2">
      <c r="A23" s="19"/>
      <c r="B23" s="699" t="s">
        <v>78</v>
      </c>
      <c r="C23" s="699"/>
      <c r="D23" s="108"/>
      <c r="E23" s="108"/>
      <c r="F23" s="107"/>
      <c r="G23" s="107"/>
      <c r="H23" s="19"/>
      <c r="I23" s="19"/>
      <c r="J23" s="19"/>
    </row>
    <row r="24" spans="1:13" ht="12.75" customHeight="1" x14ac:dyDescent="0.2">
      <c r="A24" s="19"/>
      <c r="B24" s="294" t="s">
        <v>1</v>
      </c>
      <c r="C24" s="37" t="s">
        <v>2</v>
      </c>
      <c r="D24" s="684" t="s">
        <v>54</v>
      </c>
      <c r="E24" s="684"/>
      <c r="F24" s="252" t="s">
        <v>143</v>
      </c>
      <c r="G24" s="252" t="s">
        <v>32</v>
      </c>
      <c r="H24" s="293" t="s">
        <v>33</v>
      </c>
      <c r="I24" s="19"/>
      <c r="J24" s="19"/>
    </row>
    <row r="25" spans="1:13" ht="12.75" customHeight="1" x14ac:dyDescent="0.2">
      <c r="A25" s="19"/>
      <c r="B25" s="437">
        <f>IF(M9,B9*C10/B10/C9,"")</f>
        <v>1.5636153425766137</v>
      </c>
      <c r="C25" s="129"/>
      <c r="D25" s="437">
        <f>IF(M9,EXP(D26),"")</f>
        <v>1.3468965596756295</v>
      </c>
      <c r="E25" s="504">
        <f>IF(M9,EXP(E26),"")</f>
        <v>1.8152046806992959</v>
      </c>
      <c r="F25" s="492">
        <v>1</v>
      </c>
      <c r="G25" s="123"/>
      <c r="H25" s="369" t="str">
        <f>IF(M25,IF(2*_xlfn.NORM.DIST(-ABS(G26),0,1,TRUE)&gt;=0.001,2*_xlfn.NORM.DIST(-ABS(G26),0,1,TRUE),"&lt;0.001"),"")</f>
        <v>&lt;0.001</v>
      </c>
      <c r="I25" s="19"/>
      <c r="J25" s="19"/>
      <c r="M25" t="b">
        <f>AND(M9,NOT(ISBLANK(F25)))</f>
        <v>1</v>
      </c>
    </row>
    <row r="26" spans="1:13" ht="12.75" customHeight="1" x14ac:dyDescent="0.2">
      <c r="A26" s="296"/>
      <c r="B26" s="106">
        <f>IF(M9,LN(B25),"")</f>
        <v>0.44700066722966658</v>
      </c>
      <c r="C26" s="106">
        <f>IF(M9,SQRT(1/B9+1/B10+1/C9+1/C10),"")</f>
        <v>7.6121207073491154E-2</v>
      </c>
      <c r="D26" s="106">
        <f>IF(M9,B26-1.96*C26,"")</f>
        <v>0.29780310136562393</v>
      </c>
      <c r="E26" s="106">
        <f>IF(M9,B26+1.96*C26,"")</f>
        <v>0.59619823309370923</v>
      </c>
      <c r="F26" s="106">
        <f>IF(M25,LN(F25),"")</f>
        <v>0</v>
      </c>
      <c r="G26" s="371">
        <f>IF(M25,(B26-F26)/C26,"")</f>
        <v>5.8722225305506539</v>
      </c>
      <c r="H26" s="371"/>
      <c r="I26" s="19"/>
      <c r="J26" s="19"/>
    </row>
    <row r="27" spans="1:13" ht="12.75" customHeight="1" x14ac:dyDescent="0.2">
      <c r="A27" s="296"/>
      <c r="B27" s="106"/>
      <c r="C27" s="106"/>
      <c r="D27" s="106"/>
      <c r="E27" s="106"/>
      <c r="F27" s="19"/>
      <c r="G27" s="19"/>
      <c r="H27" s="19"/>
      <c r="I27" s="19"/>
      <c r="J27" s="19"/>
    </row>
    <row r="28" spans="1:13" ht="12.75" customHeight="1" x14ac:dyDescent="0.2">
      <c r="A28" s="296"/>
      <c r="B28" s="19"/>
      <c r="C28" s="19"/>
      <c r="D28" s="106"/>
      <c r="E28" s="106"/>
      <c r="F28" s="296"/>
      <c r="G28" s="109"/>
      <c r="H28" s="19"/>
      <c r="I28" s="19"/>
      <c r="J28" s="19"/>
    </row>
    <row r="29" spans="1:13" ht="12.75" customHeight="1" x14ac:dyDescent="0.2">
      <c r="A29" s="19"/>
      <c r="B29" s="700" t="s">
        <v>191</v>
      </c>
      <c r="C29" s="700"/>
      <c r="D29" s="700"/>
      <c r="E29" s="192"/>
      <c r="F29" s="192"/>
      <c r="G29" s="19"/>
      <c r="H29" s="19"/>
      <c r="I29" s="19"/>
      <c r="J29" s="19"/>
    </row>
    <row r="30" spans="1:13" ht="12.75" customHeight="1" x14ac:dyDescent="0.2">
      <c r="A30" s="19"/>
      <c r="B30" s="702" t="s">
        <v>184</v>
      </c>
      <c r="C30" s="703"/>
      <c r="D30" s="374"/>
      <c r="E30" s="675" t="s">
        <v>185</v>
      </c>
      <c r="F30" s="677"/>
      <c r="G30" s="19"/>
      <c r="H30" s="19"/>
      <c r="I30" s="19"/>
      <c r="J30" s="19"/>
    </row>
    <row r="31" spans="1:13" ht="12.75" customHeight="1" x14ac:dyDescent="0.2">
      <c r="A31" s="19"/>
      <c r="B31" s="111">
        <f>IF(M9,$D9*B$11/$D$11,"")</f>
        <v>191.19204376680264</v>
      </c>
      <c r="C31" s="112">
        <f>IF(M9,$D9*C$11/$D$11,"")</f>
        <v>12584.807956233197</v>
      </c>
      <c r="D31" s="26"/>
      <c r="E31" s="293" t="s">
        <v>190</v>
      </c>
      <c r="F31" s="293" t="s">
        <v>33</v>
      </c>
      <c r="G31" s="19"/>
      <c r="H31" s="19"/>
      <c r="I31" s="19"/>
      <c r="J31" s="19"/>
    </row>
    <row r="32" spans="1:13" ht="12.75" customHeight="1" x14ac:dyDescent="0.2">
      <c r="A32" s="19"/>
      <c r="B32" s="113">
        <f>IF(M9,$D10*B$11/$D$11,"")</f>
        <v>604.80795623319739</v>
      </c>
      <c r="C32" s="114">
        <f>IF(M9,$D10*C$11/$D$11,"")</f>
        <v>39810.192043766801</v>
      </c>
      <c r="D32" s="26"/>
      <c r="E32" s="123">
        <f>IF(M9,SUM(B34:C35),"")</f>
        <v>35.037909418141609</v>
      </c>
      <c r="F32" s="123" t="str">
        <f>IF(M9,IF(CHIDIST(E32,1)&gt;=0.001,CHIDIST(E32,1),"&lt;0.001"),"")</f>
        <v>&lt;0.001</v>
      </c>
      <c r="G32" s="19"/>
      <c r="H32" s="19"/>
      <c r="I32" s="19"/>
      <c r="J32" s="19"/>
    </row>
    <row r="33" spans="1:10" ht="12.75" customHeight="1" x14ac:dyDescent="0.2">
      <c r="A33" s="19"/>
      <c r="B33" s="704" t="s">
        <v>186</v>
      </c>
      <c r="C33" s="705"/>
      <c r="D33" s="26"/>
      <c r="E33" s="26"/>
      <c r="F33" s="27"/>
      <c r="G33" s="19"/>
      <c r="H33" s="19"/>
      <c r="I33" s="26"/>
      <c r="J33" s="19"/>
    </row>
    <row r="34" spans="1:10" ht="12.75" customHeight="1" x14ac:dyDescent="0.2">
      <c r="A34" s="19"/>
      <c r="B34" s="111">
        <f>IF(M9,((B9-B31)^2)/B31,"")</f>
        <v>26.223720229894582</v>
      </c>
      <c r="C34" s="112">
        <f>IF(M9,((C9-C31)^2)/C31,"")</f>
        <v>0.39839834531912904</v>
      </c>
      <c r="D34" s="26"/>
      <c r="E34" s="26"/>
      <c r="F34" s="27"/>
      <c r="G34" s="19"/>
      <c r="H34" s="19"/>
      <c r="I34" s="19"/>
      <c r="J34" s="19"/>
    </row>
    <row r="35" spans="1:10" ht="12.75" customHeight="1" x14ac:dyDescent="0.2">
      <c r="A35" s="19"/>
      <c r="B35" s="113">
        <f>IF(M9,((B10-B32)^2)/B32,"")</f>
        <v>8.2898490574572161</v>
      </c>
      <c r="C35" s="114">
        <f>IF(M9,((C10-C32)^2)/C32,"")</f>
        <v>0.12594178547067808</v>
      </c>
      <c r="D35" s="192"/>
      <c r="E35" s="192"/>
      <c r="F35" s="375"/>
      <c r="G35" s="19"/>
      <c r="H35" s="19"/>
      <c r="I35" s="19"/>
      <c r="J35" s="19"/>
    </row>
    <row r="36" spans="1:10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2.7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1" spans="1:10" x14ac:dyDescent="0.2">
      <c r="A41" s="19"/>
      <c r="I41" s="19"/>
      <c r="J41" s="19"/>
    </row>
    <row r="42" spans="1:10" x14ac:dyDescent="0.2">
      <c r="A42" s="34"/>
      <c r="I42" s="19"/>
      <c r="J42" s="19"/>
    </row>
    <row r="43" spans="1:10" x14ac:dyDescent="0.2">
      <c r="A43" s="34"/>
      <c r="I43" s="19"/>
      <c r="J43" s="19"/>
    </row>
    <row r="44" spans="1:10" x14ac:dyDescent="0.2">
      <c r="A44" s="19"/>
      <c r="I44" s="19"/>
      <c r="J44" s="19"/>
    </row>
  </sheetData>
  <sheetProtection sheet="1" formatCells="0" formatColumns="0" formatRows="0"/>
  <mergeCells count="20">
    <mergeCell ref="B29:D29"/>
    <mergeCell ref="E30:F30"/>
    <mergeCell ref="B30:C30"/>
    <mergeCell ref="B33:C33"/>
    <mergeCell ref="G7:J7"/>
    <mergeCell ref="E7:F7"/>
    <mergeCell ref="I8:J8"/>
    <mergeCell ref="E12:J12"/>
    <mergeCell ref="A7:A8"/>
    <mergeCell ref="A4:H4"/>
    <mergeCell ref="A5:H5"/>
    <mergeCell ref="A2:I2"/>
    <mergeCell ref="D24:E24"/>
    <mergeCell ref="B7:C7"/>
    <mergeCell ref="G8:H8"/>
    <mergeCell ref="D19:E19"/>
    <mergeCell ref="B23:C23"/>
    <mergeCell ref="D15:E15"/>
    <mergeCell ref="B18:D18"/>
    <mergeCell ref="B14:D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1"/>
  <sheetViews>
    <sheetView workbookViewId="0">
      <selection activeCell="G12" sqref="G12"/>
    </sheetView>
  </sheetViews>
  <sheetFormatPr defaultRowHeight="12.75" x14ac:dyDescent="0.2"/>
  <cols>
    <col min="1" max="1" width="8.42578125" customWidth="1"/>
    <col min="2" max="2" width="9.140625" customWidth="1"/>
    <col min="3" max="3" width="11.140625" customWidth="1"/>
    <col min="4" max="4" width="14.5703125" customWidth="1"/>
    <col min="5" max="5" width="12.7109375" customWidth="1"/>
    <col min="6" max="6" width="11.5703125" customWidth="1"/>
    <col min="7" max="7" width="10.85546875" customWidth="1"/>
    <col min="8" max="8" width="10.42578125" customWidth="1"/>
    <col min="9" max="9" width="8.7109375" customWidth="1"/>
    <col min="10" max="10" width="11.85546875" customWidth="1"/>
    <col min="11" max="11" width="11.7109375" style="470" customWidth="1"/>
    <col min="12" max="13" width="12" hidden="1" customWidth="1"/>
    <col min="14" max="14" width="5.7109375" hidden="1" customWidth="1"/>
  </cols>
  <sheetData>
    <row r="1" spans="1:14" ht="12.75" customHeight="1" x14ac:dyDescent="0.2">
      <c r="A1" s="674" t="s">
        <v>238</v>
      </c>
      <c r="B1" s="674"/>
      <c r="C1" s="327"/>
      <c r="D1" s="327"/>
      <c r="E1" s="327"/>
      <c r="F1" s="327"/>
      <c r="G1" s="327"/>
      <c r="I1" s="373"/>
      <c r="L1" s="7"/>
    </row>
    <row r="2" spans="1:14" ht="12.75" customHeight="1" x14ac:dyDescent="0.2">
      <c r="A2" s="696" t="s">
        <v>187</v>
      </c>
      <c r="B2" s="696"/>
      <c r="C2" s="696"/>
      <c r="D2" s="696"/>
      <c r="E2" s="696"/>
      <c r="G2" s="14"/>
      <c r="I2" s="373"/>
    </row>
    <row r="3" spans="1:14" ht="12.75" customHeight="1" x14ac:dyDescent="0.2"/>
    <row r="4" spans="1:14" ht="12.75" customHeight="1" x14ac:dyDescent="0.2">
      <c r="A4" s="307" t="s">
        <v>156</v>
      </c>
      <c r="B4" s="308"/>
      <c r="C4" s="308"/>
      <c r="D4" s="308"/>
      <c r="E4" s="308"/>
      <c r="F4" s="308"/>
      <c r="G4" s="309"/>
      <c r="H4" s="19"/>
      <c r="I4" s="19"/>
      <c r="J4" s="19"/>
      <c r="K4" s="19"/>
    </row>
    <row r="5" spans="1:14" ht="12.75" customHeight="1" x14ac:dyDescent="0.2">
      <c r="A5" s="693" t="s">
        <v>188</v>
      </c>
      <c r="B5" s="694"/>
      <c r="C5" s="694"/>
      <c r="D5" s="694"/>
      <c r="E5" s="694"/>
      <c r="F5" s="694"/>
      <c r="G5" s="695"/>
      <c r="H5" s="19"/>
      <c r="I5" s="19"/>
      <c r="J5" s="19"/>
      <c r="K5" s="19"/>
    </row>
    <row r="6" spans="1:14" ht="12.7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4" ht="12.75" customHeight="1" x14ac:dyDescent="0.2">
      <c r="A7" s="19" t="s">
        <v>259</v>
      </c>
      <c r="B7" s="19"/>
      <c r="C7" s="84">
        <v>10000</v>
      </c>
      <c r="E7" s="19"/>
      <c r="F7" s="19"/>
      <c r="G7" s="19"/>
      <c r="H7" s="19"/>
      <c r="I7" s="19"/>
      <c r="J7" s="19"/>
      <c r="K7" s="19"/>
    </row>
    <row r="8" spans="1:14" ht="12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4" ht="12.75" customHeight="1" x14ac:dyDescent="0.2">
      <c r="A9" s="19"/>
      <c r="B9" s="675" t="s">
        <v>4</v>
      </c>
      <c r="C9" s="677"/>
      <c r="D9" s="675" t="s">
        <v>174</v>
      </c>
      <c r="E9" s="677"/>
      <c r="F9" s="675" t="s">
        <v>172</v>
      </c>
      <c r="G9" s="676"/>
      <c r="H9" s="676"/>
      <c r="I9" s="677"/>
      <c r="K9" s="34"/>
      <c r="L9" s="19"/>
      <c r="M9" s="19"/>
      <c r="N9" s="19"/>
    </row>
    <row r="10" spans="1:14" ht="12.75" customHeight="1" x14ac:dyDescent="0.2">
      <c r="A10" s="302" t="s">
        <v>107</v>
      </c>
      <c r="B10" s="300" t="s">
        <v>6</v>
      </c>
      <c r="C10" s="300" t="s">
        <v>180</v>
      </c>
      <c r="D10" s="357" t="str">
        <f>CONCATENATE("Rate per ",C7)</f>
        <v>Rate per 10000</v>
      </c>
      <c r="E10" s="98" t="s">
        <v>2</v>
      </c>
      <c r="F10" s="675" t="s">
        <v>54</v>
      </c>
      <c r="G10" s="677"/>
      <c r="H10" s="675" t="s">
        <v>52</v>
      </c>
      <c r="I10" s="677"/>
      <c r="K10" s="34"/>
      <c r="L10" s="19"/>
      <c r="M10" s="19"/>
      <c r="N10" s="32" t="s">
        <v>175</v>
      </c>
    </row>
    <row r="11" spans="1:14" ht="12.75" customHeight="1" x14ac:dyDescent="0.2">
      <c r="A11" s="35" t="str">
        <f>"2"</f>
        <v>2</v>
      </c>
      <c r="B11" s="61">
        <v>262</v>
      </c>
      <c r="C11" s="461">
        <v>55046.2</v>
      </c>
      <c r="D11" s="605">
        <f>IF(N11,$C$7*B11/C11,"")</f>
        <v>47.596382674916711</v>
      </c>
      <c r="E11" s="124"/>
      <c r="F11" s="502">
        <f>IF(N11,$C$7*EXP(F14),"")</f>
        <v>42.16824964297944</v>
      </c>
      <c r="G11" s="500">
        <f>IF(N11,$C$7*EXP(G14),"")</f>
        <v>53.723255361970644</v>
      </c>
      <c r="H11" s="606">
        <f>IF(N11,$C$7*0.5*CHIINV(0.975,2*B11)/C11,"")</f>
        <v>42.007026784393652</v>
      </c>
      <c r="I11" s="607">
        <f>IF(N11,$C$7*0.5*CHIINV(0.025,2*B11+2)/C11,"")</f>
        <v>53.722431800559534</v>
      </c>
      <c r="K11" s="115"/>
      <c r="L11" s="19"/>
      <c r="M11" s="19"/>
      <c r="N11" s="32" t="b">
        <f>AND(B11&gt;0,INT(B11)=B11,C11&gt;0)</f>
        <v>1</v>
      </c>
    </row>
    <row r="12" spans="1:14" ht="12.75" customHeight="1" x14ac:dyDescent="0.2">
      <c r="A12" s="29" t="str">
        <f>"1 (Ref)"</f>
        <v>1 (Ref)</v>
      </c>
      <c r="B12" s="61">
        <v>534</v>
      </c>
      <c r="C12" s="461">
        <v>175686.1</v>
      </c>
      <c r="D12" s="605">
        <f>IF(N12,$C$7*B12/C12,"")</f>
        <v>30.395119477295015</v>
      </c>
      <c r="E12" s="124"/>
      <c r="F12" s="502">
        <f>IF(N12,$C$7*EXP(F15),"")</f>
        <v>27.923386312996733</v>
      </c>
      <c r="G12" s="500">
        <f>IF(N12,$C$7*EXP(G15),"")</f>
        <v>33.085646478666284</v>
      </c>
      <c r="H12" s="503">
        <f>IF(N12,$C$7*0.5*CHIINV(0.975,2*B12)/C12,"")</f>
        <v>27.871456756118981</v>
      </c>
      <c r="I12" s="501">
        <f>IF(N12,$C$7*0.5*CHIINV(0.025,2*B12+2)/C12,"")</f>
        <v>33.085923820752662</v>
      </c>
      <c r="K12" s="115"/>
      <c r="L12" s="19"/>
      <c r="M12" s="19"/>
      <c r="N12" s="32" t="b">
        <f>AND(B12&gt;0,INT(B12)=B12,C12&gt;0)</f>
        <v>1</v>
      </c>
    </row>
    <row r="13" spans="1:14" ht="12.75" customHeight="1" x14ac:dyDescent="0.2">
      <c r="A13" s="302" t="s">
        <v>36</v>
      </c>
      <c r="B13" s="47">
        <f>SUM(B11:B12)</f>
        <v>796</v>
      </c>
      <c r="C13" s="609">
        <f>SUM(C11:C12)</f>
        <v>230732.3</v>
      </c>
      <c r="D13" s="123">
        <f>IF(N13,$C$7*B13/C13,"")</f>
        <v>34.498854299983144</v>
      </c>
      <c r="E13" s="40"/>
      <c r="F13" s="255">
        <f>IF(N13,$C$7*EXP(F16),"")</f>
        <v>32.183559791914412</v>
      </c>
      <c r="G13" s="344">
        <f>IF(N13,$C$7*EXP(G16),"")</f>
        <v>36.980711758009967</v>
      </c>
      <c r="H13" s="503">
        <f>IF(N13,$C$7*0.5*CHIINV(0.975,2*B13)/C13,"")</f>
        <v>32.143560824491608</v>
      </c>
      <c r="I13" s="501">
        <f>IF(N13,$C$7*0.5*CHIINV(0.025,2*B13+2)/C13,"")</f>
        <v>36.981085454641821</v>
      </c>
      <c r="K13" s="115"/>
      <c r="L13" s="19"/>
      <c r="M13" s="19"/>
      <c r="N13" s="32" t="b">
        <f>AND(B13&gt;0,INT(B13)=B13,C13&gt;0)</f>
        <v>1</v>
      </c>
    </row>
    <row r="14" spans="1:14" ht="12.75" customHeight="1" x14ac:dyDescent="0.2">
      <c r="A14" s="19"/>
      <c r="B14" s="19"/>
      <c r="C14" s="318"/>
      <c r="D14" s="106">
        <f>IF(N11,LN(B11/C11),"")</f>
        <v>-5.3475836078509547</v>
      </c>
      <c r="E14" s="106">
        <f>IF(N11,SQRT(1/B11),"")</f>
        <v>6.178020632152155E-2</v>
      </c>
      <c r="F14" s="106">
        <f>IF(N11,D14-1.96*E14,"")</f>
        <v>-5.4686728122411372</v>
      </c>
      <c r="G14" s="106">
        <f>IF(N11,D14+1.96*E14,"")</f>
        <v>-5.2264944034607721</v>
      </c>
      <c r="H14" s="19"/>
      <c r="I14" s="19"/>
      <c r="K14" s="19"/>
      <c r="L14" s="19"/>
      <c r="M14" s="19"/>
      <c r="N14" s="32"/>
    </row>
    <row r="15" spans="1:14" ht="12.75" customHeight="1" x14ac:dyDescent="0.2">
      <c r="A15" s="19"/>
      <c r="B15" s="19"/>
      <c r="C15" s="318"/>
      <c r="D15" s="106">
        <f>IF(N12,LN(B12/C12),"")</f>
        <v>-5.796058319962528</v>
      </c>
      <c r="E15" s="106">
        <f>IF(N12,SQRT(1/B12),"")</f>
        <v>4.3274232240791549E-2</v>
      </c>
      <c r="F15" s="106">
        <f>IF(N12,D15-1.96*E15,"")</f>
        <v>-5.8808758151544795</v>
      </c>
      <c r="G15" s="106">
        <f>IF(N12,D15+1.96*E15,"")</f>
        <v>-5.7112408247705764</v>
      </c>
      <c r="H15" s="19"/>
      <c r="I15" s="19"/>
      <c r="K15" s="19"/>
      <c r="L15" s="19"/>
      <c r="M15" s="19"/>
      <c r="N15" s="32"/>
    </row>
    <row r="16" spans="1:14" ht="12.75" customHeight="1" x14ac:dyDescent="0.2">
      <c r="A16" s="19"/>
      <c r="B16" s="19"/>
      <c r="C16" s="19"/>
      <c r="D16" s="106">
        <f>IF(N13,LN(B13/C13),"")</f>
        <v>-5.6694142571864301</v>
      </c>
      <c r="E16" s="106">
        <f>IF(N13,SQRT(1/B13),"")</f>
        <v>3.5444060250416798E-2</v>
      </c>
      <c r="F16" s="106">
        <f>IF(N13,D16-1.96*E16,"")</f>
        <v>-5.7388846152772466</v>
      </c>
      <c r="G16" s="106">
        <f>IF(N13,D16+1.96*E16,"")</f>
        <v>-5.5999438990956136</v>
      </c>
      <c r="H16" s="19"/>
      <c r="I16" s="19"/>
      <c r="K16" s="19"/>
      <c r="L16" s="19"/>
      <c r="M16" s="19"/>
      <c r="N16" s="32"/>
    </row>
    <row r="17" spans="1:14" ht="12.7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2"/>
    </row>
    <row r="18" spans="1:14" ht="12.75" customHeight="1" x14ac:dyDescent="0.2">
      <c r="A18" s="19"/>
      <c r="B18" s="19"/>
      <c r="C18" s="19"/>
      <c r="D18" s="106"/>
      <c r="E18" s="106"/>
      <c r="F18" s="106"/>
      <c r="G18" s="106"/>
      <c r="H18" s="19"/>
      <c r="I18" s="19"/>
      <c r="J18" s="19"/>
      <c r="K18" s="19"/>
      <c r="L18" s="19"/>
      <c r="M18" s="19"/>
      <c r="N18" s="19"/>
    </row>
    <row r="19" spans="1:14" ht="12.75" customHeight="1" x14ac:dyDescent="0.2">
      <c r="A19" s="19"/>
      <c r="C19" s="583" t="s">
        <v>79</v>
      </c>
      <c r="D19" s="426"/>
      <c r="E19" s="381"/>
      <c r="F19" s="116"/>
      <c r="G19" s="116"/>
      <c r="H19" s="19"/>
      <c r="I19" s="19"/>
      <c r="J19" s="19"/>
      <c r="K19" s="19"/>
      <c r="L19" s="19"/>
      <c r="M19" s="19"/>
      <c r="N19" s="19"/>
    </row>
    <row r="20" spans="1:14" ht="12.75" customHeight="1" x14ac:dyDescent="0.2">
      <c r="A20" s="19"/>
      <c r="C20" s="582" t="s">
        <v>9</v>
      </c>
      <c r="D20" s="581" t="s">
        <v>2</v>
      </c>
      <c r="E20" s="675" t="s">
        <v>54</v>
      </c>
      <c r="F20" s="677"/>
      <c r="G20" s="252" t="s">
        <v>143</v>
      </c>
      <c r="H20" s="252" t="s">
        <v>32</v>
      </c>
      <c r="I20" s="582" t="s">
        <v>33</v>
      </c>
      <c r="J20" s="675" t="s">
        <v>52</v>
      </c>
      <c r="K20" s="677"/>
      <c r="L20" s="32" t="s">
        <v>108</v>
      </c>
      <c r="M20" s="32" t="s">
        <v>109</v>
      </c>
      <c r="N20" s="101" t="s">
        <v>175</v>
      </c>
    </row>
    <row r="21" spans="1:14" ht="12.75" customHeight="1" x14ac:dyDescent="0.2">
      <c r="A21" s="19"/>
      <c r="C21" s="102">
        <f>IF(N21,D11/D12,"")</f>
        <v>1.5659218813227875</v>
      </c>
      <c r="D21" s="367"/>
      <c r="E21" s="70">
        <f>IF(N21,EXP(E22),"")</f>
        <v>1.3507161376457824</v>
      </c>
      <c r="F21" s="104">
        <f>IF(N21,EXP(F22),"")</f>
        <v>1.8154157413706347</v>
      </c>
      <c r="G21" s="492">
        <v>1</v>
      </c>
      <c r="H21" s="123"/>
      <c r="I21" s="369" t="str">
        <f>IF(N22,IF(2*_xlfn.NORM.DIST(-ABS(H22),0,1,TRUE)&gt;=0.001,2*_xlfn.NORM.DIST(-ABS(H22),0,1,TRUE),"&lt;0.001"),"")</f>
        <v>&lt;0.001</v>
      </c>
      <c r="J21" s="379">
        <f>IF(N11,L21*C12/((1-L21)*C11),"")</f>
        <v>1.3455238151099156</v>
      </c>
      <c r="K21" s="380">
        <f>IF(N21,M21*C12/((1-M21)*C11),"")</f>
        <v>1.8188071878097218</v>
      </c>
      <c r="L21" s="32">
        <f>B11/(B11+(B12+1)*FINV(0.025,2*B12+2,2*B11))</f>
        <v>0.29655799102023928</v>
      </c>
      <c r="M21" s="32">
        <f>(B11+1)/(B11+1+B12/FINV(0.025,2*B11+2,2*B12))</f>
        <v>0.36300501053842549</v>
      </c>
      <c r="N21" s="19" t="b">
        <f>AND(N11,N12)</f>
        <v>1</v>
      </c>
    </row>
    <row r="22" spans="1:14" ht="12.75" customHeight="1" x14ac:dyDescent="0.2">
      <c r="A22" s="318"/>
      <c r="C22" s="106">
        <f>IF(N21,LN(C21),"")</f>
        <v>0.4484747121115733</v>
      </c>
      <c r="D22" s="106">
        <f>IF(N21,SQRT(1/B11+1/B12),"")</f>
        <v>7.5428463255986677E-2</v>
      </c>
      <c r="E22" s="106">
        <f>IF(N21,C22-1.96*D22,"")</f>
        <v>0.30063492412983939</v>
      </c>
      <c r="F22" s="106">
        <f>IF(N21,C22+1.96*D22,"")</f>
        <v>0.59631450009330722</v>
      </c>
      <c r="G22" s="106">
        <f>IF(N22,LN(G21),"")</f>
        <v>0</v>
      </c>
      <c r="H22" s="371">
        <f>IF(N22,(C22-G22)/D22,"")</f>
        <v>5.9456959979358768</v>
      </c>
      <c r="I22" s="106"/>
      <c r="J22" s="19"/>
      <c r="K22" s="19"/>
      <c r="L22" s="19"/>
      <c r="M22" s="19"/>
      <c r="N22" s="19" t="b">
        <f>AND(N21,NOT(ISBLANK(G21)))</f>
        <v>1</v>
      </c>
    </row>
    <row r="23" spans="1:14" ht="12.75" customHeight="1" x14ac:dyDescent="0.2">
      <c r="A23" s="318"/>
      <c r="C23" s="117"/>
      <c r="D23" s="117"/>
      <c r="E23" s="117"/>
      <c r="F23" s="117"/>
      <c r="G23" s="19"/>
      <c r="H23" s="427"/>
      <c r="I23" s="19"/>
      <c r="J23" s="19"/>
      <c r="K23" s="19"/>
      <c r="L23" s="19"/>
      <c r="M23" s="19"/>
      <c r="N23" s="19"/>
    </row>
    <row r="24" spans="1:14" ht="12.75" customHeight="1" x14ac:dyDescent="0.2">
      <c r="A24" s="318"/>
      <c r="C24" s="377" t="str">
        <f>CONCATENATE("Incidence rate difference per ",C7)</f>
        <v>Incidence rate difference per 10000</v>
      </c>
      <c r="D24" s="376"/>
      <c r="E24" s="376"/>
      <c r="F24" s="382"/>
      <c r="G24" s="31"/>
      <c r="H24" s="118"/>
      <c r="I24" s="19"/>
      <c r="J24" s="19"/>
      <c r="K24" s="19"/>
      <c r="L24" s="19"/>
      <c r="M24" s="19"/>
      <c r="N24" s="19"/>
    </row>
    <row r="25" spans="1:14" ht="12.75" customHeight="1" x14ac:dyDescent="0.2">
      <c r="A25" s="318"/>
      <c r="C25" s="582" t="s">
        <v>13</v>
      </c>
      <c r="D25" s="581" t="s">
        <v>2</v>
      </c>
      <c r="E25" s="675" t="s">
        <v>54</v>
      </c>
      <c r="F25" s="677"/>
      <c r="G25" s="252" t="s">
        <v>143</v>
      </c>
      <c r="H25" s="252" t="s">
        <v>32</v>
      </c>
      <c r="I25" s="582" t="s">
        <v>33</v>
      </c>
      <c r="J25" s="19"/>
      <c r="K25" s="19"/>
      <c r="L25" s="19"/>
      <c r="M25" s="19"/>
      <c r="N25" s="32" t="s">
        <v>175</v>
      </c>
    </row>
    <row r="26" spans="1:14" ht="12.75" customHeight="1" x14ac:dyDescent="0.2">
      <c r="A26" s="318"/>
      <c r="C26" s="542">
        <f>IF(N21,D11-D12,"")</f>
        <v>17.201263197621696</v>
      </c>
      <c r="D26" s="608">
        <f>IF(N21,C7*SQRT(B11/C11^2+B12/C12^2),"")</f>
        <v>3.2212894402956049</v>
      </c>
      <c r="E26" s="503">
        <f>IF(N21,C26-1.96*D26,"")</f>
        <v>10.88753589464231</v>
      </c>
      <c r="F26" s="501">
        <f>IF(N21,C26+1.96*D26,"")</f>
        <v>23.51499050060108</v>
      </c>
      <c r="G26" s="226">
        <v>0</v>
      </c>
      <c r="H26" s="123">
        <f>IF(N26,(C26-G26)/D26,"")</f>
        <v>5.3398688681769633</v>
      </c>
      <c r="I26" s="369" t="str">
        <f>IF(N26,IF(2*_xlfn.NORM.DIST(-ABS(H26),0,1,TRUE)&gt;=0.001,2*_xlfn.NORM.DIST(-ABS(H26),0,1,TRUE),"&lt;0.001"),"")</f>
        <v>&lt;0.001</v>
      </c>
      <c r="J26" s="19"/>
      <c r="K26" s="19"/>
      <c r="L26" s="19"/>
      <c r="M26" s="19"/>
      <c r="N26" s="19" t="b">
        <f>AND(N21,NOT(ISBLANK(G26)))</f>
        <v>1</v>
      </c>
    </row>
    <row r="27" spans="1:14" ht="12.75" customHeight="1" x14ac:dyDescent="0.2">
      <c r="A27" s="610"/>
      <c r="B27" s="610"/>
      <c r="C27" s="81"/>
      <c r="D27" s="117"/>
      <c r="E27" s="81"/>
      <c r="F27" s="81"/>
      <c r="G27" s="81"/>
      <c r="H27" s="19"/>
      <c r="I27" s="19"/>
      <c r="J27" s="19"/>
      <c r="K27" s="19"/>
      <c r="L27" s="19"/>
      <c r="M27" s="19"/>
      <c r="N27" s="19"/>
    </row>
    <row r="28" spans="1:14" ht="12.75" customHeight="1" x14ac:dyDescent="0.2">
      <c r="A28" s="19"/>
      <c r="C28" s="583" t="s">
        <v>191</v>
      </c>
      <c r="D28" s="583"/>
      <c r="E28" s="583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">
      <c r="A29" s="19"/>
      <c r="C29" s="582" t="s">
        <v>107</v>
      </c>
      <c r="D29" s="580" t="s">
        <v>48</v>
      </c>
      <c r="E29" s="95" t="s">
        <v>186</v>
      </c>
      <c r="F29" s="675" t="s">
        <v>185</v>
      </c>
      <c r="G29" s="677"/>
      <c r="H29" s="19"/>
      <c r="I29" s="19"/>
      <c r="J29" s="19"/>
      <c r="K29" s="19"/>
      <c r="L29" s="19"/>
      <c r="M29" s="19"/>
      <c r="N29" s="19"/>
    </row>
    <row r="30" spans="1:14" ht="12.75" customHeight="1" x14ac:dyDescent="0.2">
      <c r="A30" s="19"/>
      <c r="C30" s="35" t="str">
        <f>"2"</f>
        <v>2</v>
      </c>
      <c r="D30" s="69">
        <f>B$13*C11/C$13</f>
        <v>189.90308335677318</v>
      </c>
      <c r="E30" s="90">
        <f>((B11-D30)^2)/D30</f>
        <v>27.371674527763812</v>
      </c>
      <c r="F30" s="582" t="s">
        <v>190</v>
      </c>
      <c r="G30" s="582" t="s">
        <v>33</v>
      </c>
      <c r="H30" s="19"/>
      <c r="I30" s="19"/>
      <c r="J30" s="19"/>
      <c r="K30" s="19"/>
      <c r="L30" s="19"/>
      <c r="M30" s="19"/>
      <c r="N30" s="19"/>
    </row>
    <row r="31" spans="1:14" ht="12.75" customHeight="1" x14ac:dyDescent="0.2">
      <c r="A31" s="19"/>
      <c r="C31" s="29" t="str">
        <f>"1 (Ref)"</f>
        <v>1 (Ref)</v>
      </c>
      <c r="D31" s="90">
        <f>B$13*C12/C$13</f>
        <v>606.09691664322679</v>
      </c>
      <c r="E31" s="102">
        <f>((B12-D31)^2)/D31</f>
        <v>8.5761290756080939</v>
      </c>
      <c r="F31" s="95">
        <f>SUM(E30:E31)</f>
        <v>35.947803603371909</v>
      </c>
      <c r="G31" s="369" t="str">
        <f>IF(CHIDIST(F31,1)&gt;=0.001,CHIDIST(F31,1),"&lt;0.001")</f>
        <v>&lt;0.001</v>
      </c>
      <c r="H31" s="19"/>
      <c r="I31" s="19"/>
      <c r="J31" s="19"/>
      <c r="K31" s="19"/>
      <c r="L31" s="289"/>
      <c r="M31" s="289"/>
    </row>
    <row r="32" spans="1:14" ht="12.75" customHeight="1" x14ac:dyDescent="0.2">
      <c r="A32" s="19"/>
      <c r="B32" s="182"/>
      <c r="C32" s="611"/>
      <c r="D32" s="611"/>
      <c r="H32" s="19"/>
      <c r="I32" s="19"/>
      <c r="J32" s="19"/>
      <c r="K32" s="19"/>
    </row>
    <row r="33" spans="1:11" ht="12.75" customHeight="1" x14ac:dyDescent="0.2">
      <c r="A33" s="19"/>
      <c r="B33" s="34"/>
      <c r="C33" s="108"/>
      <c r="D33" s="108"/>
      <c r="E33" s="19"/>
      <c r="F33" s="253"/>
      <c r="G33" s="19"/>
      <c r="H33" s="19"/>
      <c r="I33" s="19"/>
      <c r="J33" s="19"/>
      <c r="K33" s="19"/>
    </row>
    <row r="34" spans="1:11" ht="12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2.75" customHeight="1" x14ac:dyDescent="0.2"/>
    <row r="36" spans="1:11" ht="12.75" customHeight="1" x14ac:dyDescent="0.2"/>
    <row r="37" spans="1:11" ht="12.75" customHeight="1" x14ac:dyDescent="0.2"/>
    <row r="38" spans="1:11" ht="12.75" customHeight="1" x14ac:dyDescent="0.2"/>
    <row r="39" spans="1:11" ht="12.75" customHeight="1" x14ac:dyDescent="0.2"/>
    <row r="40" spans="1:11" ht="12.75" customHeight="1" x14ac:dyDescent="0.2"/>
    <row r="41" spans="1:11" ht="12.75" customHeight="1" x14ac:dyDescent="0.2"/>
  </sheetData>
  <sheetProtection sheet="1" formatCells="0" formatColumns="0" formatRows="0"/>
  <mergeCells count="12">
    <mergeCell ref="J20:K20"/>
    <mergeCell ref="E20:F20"/>
    <mergeCell ref="E25:F25"/>
    <mergeCell ref="F10:G10"/>
    <mergeCell ref="H10:I10"/>
    <mergeCell ref="F29:G29"/>
    <mergeCell ref="A1:B1"/>
    <mergeCell ref="A5:G5"/>
    <mergeCell ref="A2:E2"/>
    <mergeCell ref="B9:C9"/>
    <mergeCell ref="D9:E9"/>
    <mergeCell ref="F9:I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/>
  </sheetViews>
  <sheetFormatPr defaultRowHeight="12.75" x14ac:dyDescent="0.2"/>
  <cols>
    <col min="1" max="1" width="8.7109375" customWidth="1"/>
    <col min="2" max="2" width="11.7109375" customWidth="1"/>
    <col min="3" max="7" width="8.7109375" customWidth="1"/>
    <col min="8" max="8" width="9.85546875" customWidth="1"/>
    <col min="9" max="9" width="11.140625" hidden="1" customWidth="1"/>
    <col min="10" max="10" width="12.28515625" hidden="1" customWidth="1"/>
    <col min="11" max="11" width="16.140625" hidden="1" customWidth="1"/>
    <col min="12" max="12" width="15" hidden="1" customWidth="1"/>
  </cols>
  <sheetData>
    <row r="1" spans="1:14" ht="12.75" customHeight="1" x14ac:dyDescent="0.2">
      <c r="A1" s="667" t="s">
        <v>99</v>
      </c>
      <c r="B1" s="19"/>
      <c r="C1" s="19"/>
      <c r="D1" s="19"/>
      <c r="E1" s="19"/>
      <c r="F1" s="19"/>
      <c r="G1" s="19"/>
      <c r="H1" s="402"/>
      <c r="I1" s="19"/>
      <c r="J1" s="19"/>
      <c r="K1" s="19"/>
      <c r="L1" s="19"/>
      <c r="M1" s="19"/>
      <c r="N1" s="19"/>
    </row>
    <row r="2" spans="1:14" ht="12.75" customHeight="1" x14ac:dyDescent="0.2">
      <c r="A2" s="18" t="s">
        <v>199</v>
      </c>
      <c r="B2" s="19"/>
      <c r="C2" s="19"/>
      <c r="D2" s="19"/>
      <c r="E2" s="19"/>
      <c r="F2" s="19"/>
      <c r="G2" s="19"/>
      <c r="H2" s="402"/>
      <c r="I2" s="19"/>
      <c r="J2" s="19"/>
      <c r="K2" s="19"/>
      <c r="L2" s="19"/>
      <c r="M2" s="19"/>
      <c r="N2" s="19"/>
    </row>
    <row r="3" spans="1:14" ht="12.7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2.7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2.75" customHeight="1" x14ac:dyDescent="0.2">
      <c r="A5" s="711" t="s">
        <v>142</v>
      </c>
      <c r="B5" s="712"/>
      <c r="C5" s="712"/>
      <c r="D5" s="712"/>
      <c r="E5" s="712"/>
      <c r="F5" s="712"/>
      <c r="G5" s="713"/>
      <c r="H5" s="19"/>
      <c r="I5" s="19"/>
      <c r="J5" s="19"/>
      <c r="K5" s="19"/>
      <c r="L5" s="19"/>
      <c r="M5" s="19"/>
      <c r="N5" s="19"/>
    </row>
    <row r="6" spans="1:14" ht="12.75" customHeight="1" x14ac:dyDescent="0.2">
      <c r="A6" s="714" t="s">
        <v>150</v>
      </c>
      <c r="B6" s="715"/>
      <c r="C6" s="715"/>
      <c r="D6" s="715"/>
      <c r="E6" s="715"/>
      <c r="F6" s="715"/>
      <c r="G6" s="716"/>
      <c r="H6" s="19"/>
      <c r="I6" s="19"/>
      <c r="J6" s="19"/>
      <c r="K6" s="19"/>
      <c r="L6" s="19"/>
      <c r="M6" s="19"/>
      <c r="N6" s="19"/>
    </row>
    <row r="7" spans="1:14" ht="12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2.75" customHeight="1" x14ac:dyDescent="0.2">
      <c r="A8" s="691" t="s">
        <v>101</v>
      </c>
      <c r="B8" s="219" t="s">
        <v>100</v>
      </c>
      <c r="C8" s="48">
        <v>1</v>
      </c>
      <c r="D8" s="49">
        <v>2</v>
      </c>
      <c r="E8" s="49">
        <v>3</v>
      </c>
      <c r="F8" s="49">
        <v>4</v>
      </c>
      <c r="G8" s="50">
        <v>5</v>
      </c>
      <c r="H8" s="26"/>
      <c r="I8" s="19"/>
      <c r="J8" s="19"/>
      <c r="K8" s="19"/>
      <c r="L8" s="19"/>
      <c r="M8" s="19"/>
      <c r="N8" s="19"/>
    </row>
    <row r="9" spans="1:14" ht="12.75" customHeight="1" x14ac:dyDescent="0.2">
      <c r="A9" s="692"/>
      <c r="B9" s="220" t="s">
        <v>158</v>
      </c>
      <c r="C9" s="52" t="s">
        <v>137</v>
      </c>
      <c r="D9" s="53" t="s">
        <v>138</v>
      </c>
      <c r="E9" s="53" t="s">
        <v>139</v>
      </c>
      <c r="F9" s="53"/>
      <c r="G9" s="54"/>
      <c r="H9" s="51" t="s">
        <v>36</v>
      </c>
      <c r="I9" s="32"/>
      <c r="J9" s="32" t="s">
        <v>59</v>
      </c>
      <c r="K9" s="32" t="s">
        <v>64</v>
      </c>
      <c r="L9" s="32" t="s">
        <v>65</v>
      </c>
      <c r="M9" s="19"/>
      <c r="N9" s="19"/>
    </row>
    <row r="10" spans="1:14" ht="12.75" customHeight="1" x14ac:dyDescent="0.2">
      <c r="A10" s="55">
        <v>1</v>
      </c>
      <c r="B10" s="56" t="s">
        <v>141</v>
      </c>
      <c r="C10" s="72">
        <v>15</v>
      </c>
      <c r="D10" s="73">
        <v>29</v>
      </c>
      <c r="E10" s="73">
        <v>36</v>
      </c>
      <c r="F10" s="73"/>
      <c r="G10" s="74"/>
      <c r="H10" s="57">
        <f>IF(I10,I10,"")</f>
        <v>80</v>
      </c>
      <c r="I10" s="58">
        <f>SUM(C10:G10)</f>
        <v>80</v>
      </c>
      <c r="J10" s="32">
        <f>IF(I10,1,0)</f>
        <v>1</v>
      </c>
      <c r="K10" s="32">
        <f>A10*I10</f>
        <v>80</v>
      </c>
      <c r="L10" s="32">
        <f>A10*K10</f>
        <v>80</v>
      </c>
      <c r="M10" s="19"/>
      <c r="N10" s="19"/>
    </row>
    <row r="11" spans="1:14" ht="12.75" customHeight="1" x14ac:dyDescent="0.2">
      <c r="A11" s="59">
        <v>2</v>
      </c>
      <c r="B11" s="60" t="s">
        <v>140</v>
      </c>
      <c r="C11" s="75">
        <v>156</v>
      </c>
      <c r="D11" s="61">
        <v>197</v>
      </c>
      <c r="E11" s="61">
        <v>150</v>
      </c>
      <c r="F11" s="61"/>
      <c r="G11" s="76"/>
      <c r="H11" s="57">
        <f t="shared" ref="H11:H19" si="0">IF(I11,I11,"")</f>
        <v>503</v>
      </c>
      <c r="I11" s="58">
        <f t="shared" ref="I11:I19" si="1">SUM(C11:G11)</f>
        <v>503</v>
      </c>
      <c r="J11" s="32">
        <f t="shared" ref="J11:J19" si="2">IF(I11,1,0)</f>
        <v>1</v>
      </c>
      <c r="K11" s="32">
        <f t="shared" ref="K11:K19" si="3">A11*I11</f>
        <v>1006</v>
      </c>
      <c r="L11" s="32">
        <f t="shared" ref="L11:L19" si="4">A11*K11</f>
        <v>2012</v>
      </c>
      <c r="M11" s="19"/>
      <c r="N11" s="19"/>
    </row>
    <row r="12" spans="1:14" ht="12.75" customHeight="1" x14ac:dyDescent="0.2">
      <c r="A12" s="59">
        <v>3</v>
      </c>
      <c r="B12" s="60"/>
      <c r="C12" s="75"/>
      <c r="D12" s="61"/>
      <c r="E12" s="61"/>
      <c r="F12" s="61"/>
      <c r="G12" s="76"/>
      <c r="H12" s="57" t="str">
        <f t="shared" si="0"/>
        <v/>
      </c>
      <c r="I12" s="58">
        <f t="shared" si="1"/>
        <v>0</v>
      </c>
      <c r="J12" s="32">
        <f t="shared" si="2"/>
        <v>0</v>
      </c>
      <c r="K12" s="32">
        <f t="shared" si="3"/>
        <v>0</v>
      </c>
      <c r="L12" s="32">
        <f t="shared" si="4"/>
        <v>0</v>
      </c>
      <c r="M12" s="19"/>
      <c r="N12" s="19"/>
    </row>
    <row r="13" spans="1:14" ht="12.75" customHeight="1" x14ac:dyDescent="0.2">
      <c r="A13" s="59">
        <v>4</v>
      </c>
      <c r="B13" s="60"/>
      <c r="C13" s="75"/>
      <c r="D13" s="61"/>
      <c r="E13" s="61"/>
      <c r="F13" s="61"/>
      <c r="G13" s="76"/>
      <c r="H13" s="57" t="str">
        <f t="shared" si="0"/>
        <v/>
      </c>
      <c r="I13" s="58">
        <f t="shared" si="1"/>
        <v>0</v>
      </c>
      <c r="J13" s="32">
        <f t="shared" si="2"/>
        <v>0</v>
      </c>
      <c r="K13" s="32">
        <f t="shared" si="3"/>
        <v>0</v>
      </c>
      <c r="L13" s="32">
        <f t="shared" si="4"/>
        <v>0</v>
      </c>
      <c r="M13" s="19"/>
      <c r="N13" s="19"/>
    </row>
    <row r="14" spans="1:14" ht="12.75" customHeight="1" x14ac:dyDescent="0.2">
      <c r="A14" s="59">
        <v>5</v>
      </c>
      <c r="B14" s="60"/>
      <c r="C14" s="75"/>
      <c r="D14" s="61"/>
      <c r="E14" s="61"/>
      <c r="F14" s="61"/>
      <c r="G14" s="76"/>
      <c r="H14" s="57" t="str">
        <f t="shared" si="0"/>
        <v/>
      </c>
      <c r="I14" s="58">
        <f t="shared" si="1"/>
        <v>0</v>
      </c>
      <c r="J14" s="32">
        <f t="shared" si="2"/>
        <v>0</v>
      </c>
      <c r="K14" s="32">
        <f t="shared" si="3"/>
        <v>0</v>
      </c>
      <c r="L14" s="32">
        <f t="shared" si="4"/>
        <v>0</v>
      </c>
      <c r="M14" s="19"/>
      <c r="N14" s="19"/>
    </row>
    <row r="15" spans="1:14" ht="12.75" customHeight="1" x14ac:dyDescent="0.2">
      <c r="A15" s="59">
        <v>6</v>
      </c>
      <c r="B15" s="60"/>
      <c r="C15" s="75"/>
      <c r="D15" s="61"/>
      <c r="E15" s="61"/>
      <c r="F15" s="61"/>
      <c r="G15" s="76"/>
      <c r="H15" s="57" t="str">
        <f t="shared" si="0"/>
        <v/>
      </c>
      <c r="I15" s="58">
        <f t="shared" si="1"/>
        <v>0</v>
      </c>
      <c r="J15" s="32">
        <f t="shared" si="2"/>
        <v>0</v>
      </c>
      <c r="K15" s="32">
        <f t="shared" si="3"/>
        <v>0</v>
      </c>
      <c r="L15" s="32">
        <f t="shared" si="4"/>
        <v>0</v>
      </c>
      <c r="M15" s="19"/>
      <c r="N15" s="19"/>
    </row>
    <row r="16" spans="1:14" ht="12.75" customHeight="1" x14ac:dyDescent="0.2">
      <c r="A16" s="59">
        <v>7</v>
      </c>
      <c r="B16" s="60"/>
      <c r="C16" s="75"/>
      <c r="D16" s="61"/>
      <c r="E16" s="61"/>
      <c r="F16" s="61"/>
      <c r="G16" s="76"/>
      <c r="H16" s="57" t="str">
        <f t="shared" si="0"/>
        <v/>
      </c>
      <c r="I16" s="58">
        <f t="shared" si="1"/>
        <v>0</v>
      </c>
      <c r="J16" s="32">
        <f t="shared" si="2"/>
        <v>0</v>
      </c>
      <c r="K16" s="32">
        <f t="shared" si="3"/>
        <v>0</v>
      </c>
      <c r="L16" s="32">
        <f t="shared" si="4"/>
        <v>0</v>
      </c>
      <c r="M16" s="19"/>
      <c r="N16" s="19"/>
    </row>
    <row r="17" spans="1:14" ht="12.75" customHeight="1" x14ac:dyDescent="0.2">
      <c r="A17" s="59">
        <v>8</v>
      </c>
      <c r="B17" s="60"/>
      <c r="C17" s="75"/>
      <c r="D17" s="61"/>
      <c r="E17" s="61"/>
      <c r="F17" s="61"/>
      <c r="G17" s="76"/>
      <c r="H17" s="57" t="str">
        <f t="shared" si="0"/>
        <v/>
      </c>
      <c r="I17" s="58">
        <f t="shared" si="1"/>
        <v>0</v>
      </c>
      <c r="J17" s="32">
        <f t="shared" si="2"/>
        <v>0</v>
      </c>
      <c r="K17" s="32">
        <f t="shared" si="3"/>
        <v>0</v>
      </c>
      <c r="L17" s="32">
        <f t="shared" si="4"/>
        <v>0</v>
      </c>
      <c r="M17" s="19"/>
      <c r="N17" s="19"/>
    </row>
    <row r="18" spans="1:14" ht="12.75" customHeight="1" x14ac:dyDescent="0.2">
      <c r="A18" s="59">
        <v>9</v>
      </c>
      <c r="B18" s="60"/>
      <c r="C18" s="75"/>
      <c r="D18" s="61"/>
      <c r="E18" s="61"/>
      <c r="F18" s="61"/>
      <c r="G18" s="76"/>
      <c r="H18" s="57" t="str">
        <f t="shared" si="0"/>
        <v/>
      </c>
      <c r="I18" s="58">
        <f t="shared" si="1"/>
        <v>0</v>
      </c>
      <c r="J18" s="32">
        <f t="shared" si="2"/>
        <v>0</v>
      </c>
      <c r="K18" s="32">
        <f t="shared" si="3"/>
        <v>0</v>
      </c>
      <c r="L18" s="32">
        <f t="shared" si="4"/>
        <v>0</v>
      </c>
      <c r="M18" s="19"/>
      <c r="N18" s="19"/>
    </row>
    <row r="19" spans="1:14" ht="12.75" customHeight="1" x14ac:dyDescent="0.2">
      <c r="A19" s="62">
        <v>10</v>
      </c>
      <c r="B19" s="63"/>
      <c r="C19" s="77"/>
      <c r="D19" s="78"/>
      <c r="E19" s="78"/>
      <c r="F19" s="78"/>
      <c r="G19" s="79"/>
      <c r="H19" s="57" t="str">
        <f t="shared" si="0"/>
        <v/>
      </c>
      <c r="I19" s="58">
        <f t="shared" si="1"/>
        <v>0</v>
      </c>
      <c r="J19" s="32">
        <f t="shared" si="2"/>
        <v>0</v>
      </c>
      <c r="K19" s="32">
        <f t="shared" si="3"/>
        <v>0</v>
      </c>
      <c r="L19" s="32">
        <f t="shared" si="4"/>
        <v>0</v>
      </c>
      <c r="M19" s="19"/>
      <c r="N19" s="19"/>
    </row>
    <row r="20" spans="1:14" ht="12.75" customHeight="1" x14ac:dyDescent="0.2">
      <c r="A20" s="26"/>
      <c r="B20" s="51" t="s">
        <v>36</v>
      </c>
      <c r="C20" s="64">
        <f>IF(C21,C21,"")</f>
        <v>171</v>
      </c>
      <c r="D20" s="65">
        <f>IF(D21,D21,"")</f>
        <v>226</v>
      </c>
      <c r="E20" s="65">
        <f>IF(E21,E21,"")</f>
        <v>186</v>
      </c>
      <c r="F20" s="65" t="str">
        <f>IF(F21,F21,"")</f>
        <v/>
      </c>
      <c r="G20" s="66" t="str">
        <f>IF(G21,G21,"")</f>
        <v/>
      </c>
      <c r="H20" s="67">
        <f>SUM(H10:H19)</f>
        <v>583</v>
      </c>
      <c r="I20" s="32"/>
      <c r="J20" s="32">
        <f>SUM(J10:J19)</f>
        <v>2</v>
      </c>
      <c r="K20" s="32">
        <f>SUM(K10:K19)</f>
        <v>1086</v>
      </c>
      <c r="L20" s="32">
        <f>SUM(L10:L19)</f>
        <v>2092</v>
      </c>
      <c r="M20" s="19"/>
      <c r="N20" s="19"/>
    </row>
    <row r="21" spans="1:14" ht="12.75" hidden="1" customHeight="1" x14ac:dyDescent="0.2">
      <c r="A21" s="32"/>
      <c r="B21" s="32"/>
      <c r="C21" s="58">
        <f>SUM(C10:C19)</f>
        <v>171</v>
      </c>
      <c r="D21" s="58">
        <f>SUM(D10:D19)</f>
        <v>226</v>
      </c>
      <c r="E21" s="58">
        <f>SUM(E10:E19)</f>
        <v>186</v>
      </c>
      <c r="F21" s="58">
        <f>SUM(F10:F19)</f>
        <v>0</v>
      </c>
      <c r="G21" s="58">
        <f>SUM(G10:G19)</f>
        <v>0</v>
      </c>
      <c r="H21" s="32"/>
      <c r="I21" s="19"/>
      <c r="J21" s="19"/>
      <c r="K21" s="19"/>
      <c r="L21" s="19"/>
      <c r="M21" s="19"/>
      <c r="N21" s="19"/>
    </row>
    <row r="22" spans="1:14" ht="12.75" hidden="1" customHeight="1" x14ac:dyDescent="0.2">
      <c r="A22" s="32"/>
      <c r="B22" s="32" t="s">
        <v>60</v>
      </c>
      <c r="C22" s="32">
        <f>IF(C21,1,0)</f>
        <v>1</v>
      </c>
      <c r="D22" s="32">
        <f>IF(D21,1,0)</f>
        <v>1</v>
      </c>
      <c r="E22" s="32">
        <f>IF(E21,1,0)</f>
        <v>1</v>
      </c>
      <c r="F22" s="32">
        <f>IF(F21,1,0)</f>
        <v>0</v>
      </c>
      <c r="G22" s="32">
        <f>IF(G21,1,0)</f>
        <v>0</v>
      </c>
      <c r="H22" s="32">
        <f>SUM(C22:G22)</f>
        <v>3</v>
      </c>
      <c r="I22" s="19"/>
      <c r="J22" s="19"/>
      <c r="K22" s="19"/>
      <c r="L22" s="19"/>
      <c r="M22" s="19"/>
      <c r="N22" s="19"/>
    </row>
    <row r="23" spans="1:14" ht="12.75" hidden="1" customHeight="1" x14ac:dyDescent="0.2">
      <c r="A23" s="32"/>
      <c r="B23" s="32" t="s">
        <v>62</v>
      </c>
      <c r="C23" s="32">
        <f>C8*C21</f>
        <v>171</v>
      </c>
      <c r="D23" s="32">
        <f>D8*D21</f>
        <v>452</v>
      </c>
      <c r="E23" s="32">
        <f>E8*E21</f>
        <v>558</v>
      </c>
      <c r="F23" s="32">
        <f>F8*F21</f>
        <v>0</v>
      </c>
      <c r="G23" s="32">
        <f>G8*G21</f>
        <v>0</v>
      </c>
      <c r="H23" s="32">
        <f>SUM(C23:G23)</f>
        <v>1181</v>
      </c>
      <c r="I23" s="19"/>
      <c r="J23" s="19"/>
      <c r="K23" s="19"/>
      <c r="L23" s="19"/>
      <c r="M23" s="19"/>
      <c r="N23" s="19"/>
    </row>
    <row r="24" spans="1:14" ht="12.75" hidden="1" customHeight="1" x14ac:dyDescent="0.2">
      <c r="A24" s="32"/>
      <c r="B24" s="32" t="s">
        <v>63</v>
      </c>
      <c r="C24" s="32">
        <f>C23*C8</f>
        <v>171</v>
      </c>
      <c r="D24" s="32">
        <f>D23*D8</f>
        <v>904</v>
      </c>
      <c r="E24" s="32">
        <f>E23*E8</f>
        <v>1674</v>
      </c>
      <c r="F24" s="32">
        <f>F23*F8</f>
        <v>0</v>
      </c>
      <c r="G24" s="32">
        <f>G23*G8</f>
        <v>0</v>
      </c>
      <c r="H24" s="32">
        <f>SUM(C24:G24)</f>
        <v>2749</v>
      </c>
      <c r="I24" s="19"/>
      <c r="J24" s="19"/>
      <c r="K24" s="19"/>
      <c r="L24" s="19"/>
      <c r="M24" s="19"/>
      <c r="N24" s="19"/>
    </row>
    <row r="25" spans="1:14" ht="12.75" hidden="1" customHeight="1" x14ac:dyDescent="0.2">
      <c r="A25" s="32"/>
      <c r="B25" s="32"/>
      <c r="C25" s="32"/>
      <c r="D25" s="32"/>
      <c r="E25" s="32"/>
      <c r="F25" s="32"/>
      <c r="G25" s="32"/>
      <c r="H25" s="32"/>
      <c r="I25" s="19"/>
      <c r="J25" s="19"/>
      <c r="K25" s="19"/>
      <c r="L25" s="19"/>
      <c r="M25" s="19"/>
      <c r="N25" s="19"/>
    </row>
    <row r="26" spans="1:14" ht="12.75" hidden="1" customHeight="1" x14ac:dyDescent="0.2">
      <c r="A26" s="643" t="s">
        <v>48</v>
      </c>
      <c r="B26" s="32"/>
      <c r="C26" s="32">
        <f t="shared" ref="C26:G33" si="5">IF($H$20,$I10*C$21/$H$20,0)</f>
        <v>23.464837049742709</v>
      </c>
      <c r="D26" s="32">
        <f t="shared" si="5"/>
        <v>31.012006861063465</v>
      </c>
      <c r="E26" s="32">
        <f t="shared" si="5"/>
        <v>25.523156089193826</v>
      </c>
      <c r="F26" s="32">
        <f t="shared" si="5"/>
        <v>0</v>
      </c>
      <c r="G26" s="32">
        <f t="shared" si="5"/>
        <v>0</v>
      </c>
      <c r="H26" s="32"/>
      <c r="I26" s="19"/>
      <c r="J26" s="19"/>
      <c r="K26" s="19"/>
      <c r="L26" s="19"/>
      <c r="M26" s="19"/>
      <c r="N26" s="19"/>
    </row>
    <row r="27" spans="1:14" ht="12.75" hidden="1" customHeight="1" x14ac:dyDescent="0.2">
      <c r="A27" s="32"/>
      <c r="B27" s="32"/>
      <c r="C27" s="32">
        <f t="shared" si="5"/>
        <v>147.5351629502573</v>
      </c>
      <c r="D27" s="32">
        <f t="shared" si="5"/>
        <v>194.98799313893653</v>
      </c>
      <c r="E27" s="32">
        <f t="shared" si="5"/>
        <v>160.47684391080617</v>
      </c>
      <c r="F27" s="32">
        <f t="shared" si="5"/>
        <v>0</v>
      </c>
      <c r="G27" s="32">
        <f t="shared" si="5"/>
        <v>0</v>
      </c>
      <c r="H27" s="32"/>
      <c r="I27" s="19"/>
      <c r="J27" s="19"/>
      <c r="K27" s="19"/>
      <c r="L27" s="19"/>
      <c r="M27" s="19"/>
      <c r="N27" s="19"/>
    </row>
    <row r="28" spans="1:14" ht="12.75" hidden="1" customHeight="1" x14ac:dyDescent="0.2">
      <c r="A28" s="32"/>
      <c r="B28" s="32"/>
      <c r="C28" s="32">
        <f t="shared" si="5"/>
        <v>0</v>
      </c>
      <c r="D28" s="32">
        <f t="shared" si="5"/>
        <v>0</v>
      </c>
      <c r="E28" s="32">
        <f t="shared" si="5"/>
        <v>0</v>
      </c>
      <c r="F28" s="32">
        <f t="shared" si="5"/>
        <v>0</v>
      </c>
      <c r="G28" s="32">
        <f t="shared" si="5"/>
        <v>0</v>
      </c>
      <c r="H28" s="32"/>
      <c r="I28" s="19"/>
      <c r="J28" s="19"/>
      <c r="K28" s="19"/>
      <c r="L28" s="19"/>
      <c r="M28" s="19"/>
      <c r="N28" s="19"/>
    </row>
    <row r="29" spans="1:14" ht="12.75" hidden="1" customHeight="1" x14ac:dyDescent="0.2">
      <c r="A29" s="32"/>
      <c r="B29" s="32"/>
      <c r="C29" s="32">
        <f t="shared" si="5"/>
        <v>0</v>
      </c>
      <c r="D29" s="32">
        <f t="shared" si="5"/>
        <v>0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/>
      <c r="I29" s="19"/>
      <c r="J29" s="19"/>
      <c r="K29" s="19"/>
      <c r="L29" s="19"/>
      <c r="M29" s="19"/>
      <c r="N29" s="19"/>
    </row>
    <row r="30" spans="1:14" ht="12.75" hidden="1" customHeight="1" x14ac:dyDescent="0.2">
      <c r="A30" s="32"/>
      <c r="B30" s="32"/>
      <c r="C30" s="32">
        <f t="shared" si="5"/>
        <v>0</v>
      </c>
      <c r="D30" s="32">
        <f t="shared" si="5"/>
        <v>0</v>
      </c>
      <c r="E30" s="32">
        <f t="shared" si="5"/>
        <v>0</v>
      </c>
      <c r="F30" s="32">
        <f t="shared" si="5"/>
        <v>0</v>
      </c>
      <c r="G30" s="32">
        <f t="shared" si="5"/>
        <v>0</v>
      </c>
      <c r="H30" s="32"/>
      <c r="I30" s="19"/>
      <c r="J30" s="19"/>
      <c r="K30" s="19"/>
      <c r="L30" s="19"/>
      <c r="M30" s="19"/>
      <c r="N30" s="19"/>
    </row>
    <row r="31" spans="1:14" ht="12.75" hidden="1" customHeight="1" x14ac:dyDescent="0.2">
      <c r="A31" s="32"/>
      <c r="B31" s="32"/>
      <c r="C31" s="32">
        <f t="shared" si="5"/>
        <v>0</v>
      </c>
      <c r="D31" s="32">
        <f t="shared" si="5"/>
        <v>0</v>
      </c>
      <c r="E31" s="32">
        <f t="shared" si="5"/>
        <v>0</v>
      </c>
      <c r="F31" s="32">
        <f t="shared" si="5"/>
        <v>0</v>
      </c>
      <c r="G31" s="32">
        <f t="shared" si="5"/>
        <v>0</v>
      </c>
      <c r="H31" s="32"/>
      <c r="I31" s="19"/>
      <c r="J31" s="19"/>
      <c r="K31" s="19"/>
      <c r="L31" s="19"/>
      <c r="M31" s="19"/>
      <c r="N31" s="19"/>
    </row>
    <row r="32" spans="1:14" ht="12.75" hidden="1" customHeight="1" x14ac:dyDescent="0.2">
      <c r="A32" s="32"/>
      <c r="B32" s="32"/>
      <c r="C32" s="32">
        <f t="shared" si="5"/>
        <v>0</v>
      </c>
      <c r="D32" s="32">
        <f t="shared" si="5"/>
        <v>0</v>
      </c>
      <c r="E32" s="32">
        <f t="shared" si="5"/>
        <v>0</v>
      </c>
      <c r="F32" s="32">
        <f t="shared" si="5"/>
        <v>0</v>
      </c>
      <c r="G32" s="32">
        <f t="shared" si="5"/>
        <v>0</v>
      </c>
      <c r="H32" s="32"/>
      <c r="I32" s="19"/>
      <c r="J32" s="19"/>
      <c r="K32" s="19"/>
      <c r="L32" s="19"/>
      <c r="M32" s="19"/>
      <c r="N32" s="19"/>
    </row>
    <row r="33" spans="1:14" ht="12.75" hidden="1" customHeight="1" x14ac:dyDescent="0.2">
      <c r="A33" s="32"/>
      <c r="B33" s="32"/>
      <c r="C33" s="32">
        <f t="shared" si="5"/>
        <v>0</v>
      </c>
      <c r="D33" s="32">
        <f t="shared" si="5"/>
        <v>0</v>
      </c>
      <c r="E33" s="32">
        <f t="shared" si="5"/>
        <v>0</v>
      </c>
      <c r="F33" s="32">
        <f t="shared" si="5"/>
        <v>0</v>
      </c>
      <c r="G33" s="32">
        <f t="shared" si="5"/>
        <v>0</v>
      </c>
      <c r="H33" s="32"/>
      <c r="I33" s="19"/>
      <c r="J33" s="19"/>
      <c r="K33" s="19"/>
      <c r="L33" s="19"/>
      <c r="M33" s="19"/>
      <c r="N33" s="19"/>
    </row>
    <row r="34" spans="1:14" ht="12.75" hidden="1" customHeight="1" x14ac:dyDescent="0.2">
      <c r="A34" s="32"/>
      <c r="B34" s="32"/>
      <c r="C34" s="32">
        <f t="shared" ref="C34:G35" si="6">IF($H$20,$I18*C$21/$H$20,0)</f>
        <v>0</v>
      </c>
      <c r="D34" s="32">
        <f t="shared" si="6"/>
        <v>0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/>
      <c r="I34" s="19"/>
      <c r="J34" s="19"/>
      <c r="K34" s="19"/>
      <c r="L34" s="19"/>
      <c r="M34" s="19"/>
      <c r="N34" s="19"/>
    </row>
    <row r="35" spans="1:14" ht="12.75" hidden="1" customHeight="1" x14ac:dyDescent="0.2">
      <c r="A35" s="32"/>
      <c r="B35" s="32"/>
      <c r="C35" s="32">
        <f t="shared" si="6"/>
        <v>0</v>
      </c>
      <c r="D35" s="32">
        <f t="shared" si="6"/>
        <v>0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/>
      <c r="I35" s="19"/>
      <c r="J35" s="19"/>
      <c r="K35" s="19"/>
      <c r="L35" s="19"/>
      <c r="M35" s="19"/>
      <c r="N35" s="19"/>
    </row>
    <row r="36" spans="1:14" ht="12.75" hidden="1" customHeight="1" x14ac:dyDescent="0.2">
      <c r="A36" s="19"/>
      <c r="B36" s="19"/>
      <c r="C36" s="32"/>
      <c r="D36" s="32"/>
      <c r="E36" s="32"/>
      <c r="F36" s="32"/>
      <c r="G36" s="32"/>
      <c r="H36" s="32"/>
      <c r="I36" s="19"/>
      <c r="J36" s="19"/>
      <c r="K36" s="19"/>
      <c r="L36" s="19"/>
      <c r="M36" s="19"/>
      <c r="N36" s="19"/>
    </row>
    <row r="37" spans="1:14" ht="12.75" hidden="1" customHeight="1" x14ac:dyDescent="0.2">
      <c r="A37" s="19" t="s">
        <v>10</v>
      </c>
      <c r="B37" s="19"/>
      <c r="C37" s="32">
        <f t="shared" ref="C37:G46" si="7">IF(C26,((C10-C26)^2)/C26,0)</f>
        <v>3.0536528392163933</v>
      </c>
      <c r="D37" s="32">
        <f t="shared" si="7"/>
        <v>0.13053562212541181</v>
      </c>
      <c r="E37" s="32">
        <f t="shared" si="7"/>
        <v>4.3005754440325337</v>
      </c>
      <c r="F37" s="32">
        <f t="shared" si="7"/>
        <v>0</v>
      </c>
      <c r="G37" s="32">
        <f t="shared" si="7"/>
        <v>0</v>
      </c>
      <c r="H37" s="32">
        <f>SUM(C37:G37)</f>
        <v>7.4847639053743382</v>
      </c>
      <c r="I37" s="19"/>
      <c r="J37" s="19"/>
      <c r="K37" s="19"/>
      <c r="L37" s="19"/>
      <c r="M37" s="19"/>
      <c r="N37" s="19"/>
    </row>
    <row r="38" spans="1:14" ht="12.75" hidden="1" customHeight="1" x14ac:dyDescent="0.2">
      <c r="A38" s="19"/>
      <c r="B38" s="19"/>
      <c r="C38" s="32">
        <f t="shared" si="7"/>
        <v>0.48567043168451463</v>
      </c>
      <c r="D38" s="32">
        <f t="shared" si="7"/>
        <v>2.0761132743604336E-2</v>
      </c>
      <c r="E38" s="32">
        <f t="shared" si="7"/>
        <v>0.68398814219205228</v>
      </c>
      <c r="F38" s="32">
        <f t="shared" si="7"/>
        <v>0</v>
      </c>
      <c r="G38" s="32">
        <f t="shared" si="7"/>
        <v>0</v>
      </c>
      <c r="H38" s="32">
        <f t="shared" ref="H38:H46" si="8">SUM(C38:G38)</f>
        <v>1.1904197066201712</v>
      </c>
      <c r="I38" s="19"/>
      <c r="J38" s="19"/>
      <c r="K38" s="19"/>
      <c r="L38" s="19"/>
      <c r="M38" s="19"/>
      <c r="N38" s="19"/>
    </row>
    <row r="39" spans="1:14" ht="12.75" hidden="1" customHeight="1" x14ac:dyDescent="0.2">
      <c r="A39" s="19"/>
      <c r="B39" s="19"/>
      <c r="C39" s="32">
        <f t="shared" si="7"/>
        <v>0</v>
      </c>
      <c r="D39" s="32">
        <f t="shared" si="7"/>
        <v>0</v>
      </c>
      <c r="E39" s="32">
        <f t="shared" si="7"/>
        <v>0</v>
      </c>
      <c r="F39" s="32">
        <f t="shared" si="7"/>
        <v>0</v>
      </c>
      <c r="G39" s="32">
        <f t="shared" si="7"/>
        <v>0</v>
      </c>
      <c r="H39" s="32">
        <f t="shared" si="8"/>
        <v>0</v>
      </c>
      <c r="I39" s="19"/>
      <c r="J39" s="19"/>
      <c r="K39" s="19"/>
      <c r="L39" s="19"/>
      <c r="M39" s="19"/>
      <c r="N39" s="19"/>
    </row>
    <row r="40" spans="1:14" ht="12.75" hidden="1" customHeight="1" x14ac:dyDescent="0.2">
      <c r="A40" s="19"/>
      <c r="B40" s="19"/>
      <c r="C40" s="32">
        <f t="shared" si="7"/>
        <v>0</v>
      </c>
      <c r="D40" s="32">
        <f t="shared" si="7"/>
        <v>0</v>
      </c>
      <c r="E40" s="32">
        <f t="shared" si="7"/>
        <v>0</v>
      </c>
      <c r="F40" s="32">
        <f t="shared" si="7"/>
        <v>0</v>
      </c>
      <c r="G40" s="32">
        <f t="shared" si="7"/>
        <v>0</v>
      </c>
      <c r="H40" s="32">
        <f t="shared" si="8"/>
        <v>0</v>
      </c>
      <c r="I40" s="19"/>
      <c r="J40" s="19"/>
      <c r="K40" s="19"/>
      <c r="L40" s="19"/>
      <c r="M40" s="19"/>
      <c r="N40" s="19"/>
    </row>
    <row r="41" spans="1:14" ht="12.75" hidden="1" customHeight="1" x14ac:dyDescent="0.2">
      <c r="A41" s="19"/>
      <c r="B41" s="19"/>
      <c r="C41" s="32">
        <f t="shared" si="7"/>
        <v>0</v>
      </c>
      <c r="D41" s="32">
        <f t="shared" si="7"/>
        <v>0</v>
      </c>
      <c r="E41" s="32">
        <f t="shared" si="7"/>
        <v>0</v>
      </c>
      <c r="F41" s="32">
        <f t="shared" si="7"/>
        <v>0</v>
      </c>
      <c r="G41" s="32">
        <f t="shared" si="7"/>
        <v>0</v>
      </c>
      <c r="H41" s="32">
        <f t="shared" si="8"/>
        <v>0</v>
      </c>
      <c r="I41" s="19"/>
      <c r="J41" s="19"/>
      <c r="K41" s="19"/>
      <c r="L41" s="19"/>
      <c r="M41" s="19"/>
      <c r="N41" s="19"/>
    </row>
    <row r="42" spans="1:14" ht="12.75" hidden="1" customHeight="1" x14ac:dyDescent="0.2">
      <c r="A42" s="19"/>
      <c r="B42" s="19"/>
      <c r="C42" s="32">
        <f t="shared" si="7"/>
        <v>0</v>
      </c>
      <c r="D42" s="32">
        <f t="shared" si="7"/>
        <v>0</v>
      </c>
      <c r="E42" s="32">
        <f t="shared" si="7"/>
        <v>0</v>
      </c>
      <c r="F42" s="32">
        <f t="shared" si="7"/>
        <v>0</v>
      </c>
      <c r="G42" s="32">
        <f t="shared" si="7"/>
        <v>0</v>
      </c>
      <c r="H42" s="32">
        <f t="shared" si="8"/>
        <v>0</v>
      </c>
      <c r="I42" s="19"/>
      <c r="J42" s="19"/>
      <c r="K42" s="19"/>
      <c r="L42" s="19"/>
      <c r="M42" s="19"/>
      <c r="N42" s="19"/>
    </row>
    <row r="43" spans="1:14" ht="12.75" hidden="1" customHeight="1" x14ac:dyDescent="0.2">
      <c r="A43" s="19"/>
      <c r="B43" s="19"/>
      <c r="C43" s="32">
        <f t="shared" si="7"/>
        <v>0</v>
      </c>
      <c r="D43" s="32">
        <f t="shared" si="7"/>
        <v>0</v>
      </c>
      <c r="E43" s="32">
        <f t="shared" si="7"/>
        <v>0</v>
      </c>
      <c r="F43" s="32">
        <f t="shared" si="7"/>
        <v>0</v>
      </c>
      <c r="G43" s="32">
        <f t="shared" si="7"/>
        <v>0</v>
      </c>
      <c r="H43" s="32">
        <f t="shared" si="8"/>
        <v>0</v>
      </c>
      <c r="I43" s="19"/>
      <c r="J43" s="19"/>
      <c r="K43" s="19"/>
      <c r="L43" s="19"/>
      <c r="M43" s="19"/>
      <c r="N43" s="19"/>
    </row>
    <row r="44" spans="1:14" ht="12.75" hidden="1" customHeight="1" x14ac:dyDescent="0.2">
      <c r="A44" s="19"/>
      <c r="B44" s="19"/>
      <c r="C44" s="32">
        <f t="shared" si="7"/>
        <v>0</v>
      </c>
      <c r="D44" s="32">
        <f t="shared" si="7"/>
        <v>0</v>
      </c>
      <c r="E44" s="32">
        <f t="shared" si="7"/>
        <v>0</v>
      </c>
      <c r="F44" s="32">
        <f t="shared" si="7"/>
        <v>0</v>
      </c>
      <c r="G44" s="32">
        <f t="shared" si="7"/>
        <v>0</v>
      </c>
      <c r="H44" s="32">
        <f t="shared" si="8"/>
        <v>0</v>
      </c>
      <c r="I44" s="19"/>
      <c r="J44" s="19"/>
      <c r="K44" s="19"/>
      <c r="L44" s="19"/>
      <c r="M44" s="19"/>
      <c r="N44" s="19"/>
    </row>
    <row r="45" spans="1:14" ht="12.75" hidden="1" customHeight="1" x14ac:dyDescent="0.2">
      <c r="A45" s="19"/>
      <c r="B45" s="19"/>
      <c r="C45" s="32">
        <f t="shared" si="7"/>
        <v>0</v>
      </c>
      <c r="D45" s="32">
        <f t="shared" si="7"/>
        <v>0</v>
      </c>
      <c r="E45" s="32">
        <f t="shared" si="7"/>
        <v>0</v>
      </c>
      <c r="F45" s="32">
        <f t="shared" si="7"/>
        <v>0</v>
      </c>
      <c r="G45" s="32">
        <f t="shared" si="7"/>
        <v>0</v>
      </c>
      <c r="H45" s="32">
        <f t="shared" si="8"/>
        <v>0</v>
      </c>
      <c r="I45" s="19"/>
      <c r="J45" s="19"/>
      <c r="K45" s="19"/>
      <c r="L45" s="19"/>
      <c r="M45" s="19"/>
      <c r="N45" s="19"/>
    </row>
    <row r="46" spans="1:14" ht="12.75" hidden="1" customHeight="1" x14ac:dyDescent="0.2">
      <c r="A46" s="19"/>
      <c r="B46" s="19"/>
      <c r="C46" s="32">
        <f t="shared" si="7"/>
        <v>0</v>
      </c>
      <c r="D46" s="32">
        <f t="shared" si="7"/>
        <v>0</v>
      </c>
      <c r="E46" s="32">
        <f t="shared" si="7"/>
        <v>0</v>
      </c>
      <c r="F46" s="32">
        <f t="shared" si="7"/>
        <v>0</v>
      </c>
      <c r="G46" s="32">
        <f t="shared" si="7"/>
        <v>0</v>
      </c>
      <c r="H46" s="32">
        <f t="shared" si="8"/>
        <v>0</v>
      </c>
      <c r="I46" s="19"/>
      <c r="J46" s="19"/>
      <c r="K46" s="19"/>
      <c r="L46" s="19"/>
      <c r="M46" s="19"/>
      <c r="N46" s="19"/>
    </row>
    <row r="47" spans="1:14" ht="12.75" hidden="1" customHeight="1" x14ac:dyDescent="0.2">
      <c r="A47" s="19"/>
      <c r="B47" s="19"/>
      <c r="C47" s="32"/>
      <c r="D47" s="32"/>
      <c r="E47" s="32"/>
      <c r="F47" s="32"/>
      <c r="G47" s="32"/>
      <c r="H47" s="32">
        <f>SUM(H37:H46)</f>
        <v>8.6751836119945089</v>
      </c>
      <c r="I47" s="19"/>
      <c r="J47" s="19"/>
      <c r="K47" s="19"/>
      <c r="L47" s="19"/>
      <c r="M47" s="19"/>
      <c r="N47" s="19"/>
    </row>
    <row r="48" spans="1:14" ht="12.75" hidden="1" customHeight="1" x14ac:dyDescent="0.2">
      <c r="A48" s="19"/>
      <c r="B48" s="19"/>
      <c r="C48" s="32"/>
      <c r="D48" s="32"/>
      <c r="E48" s="32"/>
      <c r="F48" s="32"/>
      <c r="G48" s="32"/>
      <c r="H48" s="32"/>
      <c r="I48" s="19"/>
      <c r="J48" s="19"/>
      <c r="K48" s="19"/>
      <c r="L48" s="19"/>
      <c r="M48" s="19"/>
      <c r="N48" s="19"/>
    </row>
    <row r="49" spans="1:14" ht="12.75" hidden="1" customHeight="1" x14ac:dyDescent="0.2">
      <c r="A49" s="19" t="s">
        <v>66</v>
      </c>
      <c r="B49" s="19"/>
      <c r="C49" s="32">
        <f t="shared" ref="C49:G56" si="9">C$8*$A10*C10</f>
        <v>15</v>
      </c>
      <c r="D49" s="32">
        <f t="shared" si="9"/>
        <v>58</v>
      </c>
      <c r="E49" s="32">
        <f t="shared" si="9"/>
        <v>108</v>
      </c>
      <c r="F49" s="32">
        <f t="shared" si="9"/>
        <v>0</v>
      </c>
      <c r="G49" s="32">
        <f t="shared" si="9"/>
        <v>0</v>
      </c>
      <c r="H49" s="32">
        <f>SUM(C49:G49)</f>
        <v>181</v>
      </c>
      <c r="I49" s="19"/>
      <c r="J49" s="19"/>
      <c r="K49" s="19"/>
      <c r="L49" s="19"/>
      <c r="M49" s="19"/>
      <c r="N49" s="19"/>
    </row>
    <row r="50" spans="1:14" ht="12.75" hidden="1" customHeight="1" x14ac:dyDescent="0.2">
      <c r="A50" s="19"/>
      <c r="B50" s="19"/>
      <c r="C50" s="32">
        <f t="shared" si="9"/>
        <v>312</v>
      </c>
      <c r="D50" s="32">
        <f t="shared" si="9"/>
        <v>788</v>
      </c>
      <c r="E50" s="32">
        <f t="shared" si="9"/>
        <v>900</v>
      </c>
      <c r="F50" s="32">
        <f t="shared" si="9"/>
        <v>0</v>
      </c>
      <c r="G50" s="32">
        <f t="shared" si="9"/>
        <v>0</v>
      </c>
      <c r="H50" s="32">
        <f t="shared" ref="H50:H58" si="10">SUM(C50:G50)</f>
        <v>2000</v>
      </c>
      <c r="I50" s="19"/>
      <c r="J50" s="19"/>
      <c r="K50" s="19"/>
      <c r="L50" s="19"/>
      <c r="M50" s="19"/>
      <c r="N50" s="19"/>
    </row>
    <row r="51" spans="1:14" ht="12.75" hidden="1" customHeight="1" x14ac:dyDescent="0.2">
      <c r="A51" s="19"/>
      <c r="B51" s="19"/>
      <c r="C51" s="32">
        <f t="shared" si="9"/>
        <v>0</v>
      </c>
      <c r="D51" s="32">
        <f t="shared" si="9"/>
        <v>0</v>
      </c>
      <c r="E51" s="32">
        <f t="shared" si="9"/>
        <v>0</v>
      </c>
      <c r="F51" s="32">
        <f t="shared" si="9"/>
        <v>0</v>
      </c>
      <c r="G51" s="32">
        <f t="shared" si="9"/>
        <v>0</v>
      </c>
      <c r="H51" s="32">
        <f t="shared" si="10"/>
        <v>0</v>
      </c>
      <c r="I51" s="19"/>
      <c r="J51" s="19"/>
      <c r="K51" s="19"/>
      <c r="L51" s="19"/>
      <c r="M51" s="19"/>
      <c r="N51" s="19"/>
    </row>
    <row r="52" spans="1:14" ht="12.75" hidden="1" customHeight="1" x14ac:dyDescent="0.2">
      <c r="A52" s="19"/>
      <c r="B52" s="19"/>
      <c r="C52" s="32">
        <f t="shared" si="9"/>
        <v>0</v>
      </c>
      <c r="D52" s="32">
        <f t="shared" si="9"/>
        <v>0</v>
      </c>
      <c r="E52" s="32">
        <f t="shared" si="9"/>
        <v>0</v>
      </c>
      <c r="F52" s="32">
        <f t="shared" si="9"/>
        <v>0</v>
      </c>
      <c r="G52" s="32">
        <f t="shared" si="9"/>
        <v>0</v>
      </c>
      <c r="H52" s="32">
        <f t="shared" si="10"/>
        <v>0</v>
      </c>
      <c r="I52" s="19"/>
      <c r="J52" s="19"/>
      <c r="K52" s="19"/>
      <c r="L52" s="19"/>
      <c r="M52" s="19"/>
      <c r="N52" s="19"/>
    </row>
    <row r="53" spans="1:14" ht="12.75" hidden="1" customHeight="1" x14ac:dyDescent="0.2">
      <c r="A53" s="19"/>
      <c r="B53" s="19"/>
      <c r="C53" s="32">
        <f t="shared" si="9"/>
        <v>0</v>
      </c>
      <c r="D53" s="32">
        <f t="shared" si="9"/>
        <v>0</v>
      </c>
      <c r="E53" s="32">
        <f t="shared" si="9"/>
        <v>0</v>
      </c>
      <c r="F53" s="32">
        <f t="shared" si="9"/>
        <v>0</v>
      </c>
      <c r="G53" s="32">
        <f t="shared" si="9"/>
        <v>0</v>
      </c>
      <c r="H53" s="32">
        <f t="shared" si="10"/>
        <v>0</v>
      </c>
      <c r="I53" s="19"/>
      <c r="J53" s="19"/>
      <c r="K53" s="19"/>
      <c r="L53" s="19"/>
      <c r="M53" s="19"/>
      <c r="N53" s="19"/>
    </row>
    <row r="54" spans="1:14" ht="12.75" hidden="1" customHeight="1" x14ac:dyDescent="0.2">
      <c r="A54" s="19"/>
      <c r="B54" s="19"/>
      <c r="C54" s="32">
        <f t="shared" si="9"/>
        <v>0</v>
      </c>
      <c r="D54" s="32">
        <f t="shared" si="9"/>
        <v>0</v>
      </c>
      <c r="E54" s="32">
        <f t="shared" si="9"/>
        <v>0</v>
      </c>
      <c r="F54" s="32">
        <f t="shared" si="9"/>
        <v>0</v>
      </c>
      <c r="G54" s="32">
        <f t="shared" si="9"/>
        <v>0</v>
      </c>
      <c r="H54" s="32">
        <f t="shared" si="10"/>
        <v>0</v>
      </c>
      <c r="I54" s="19"/>
      <c r="J54" s="19"/>
      <c r="K54" s="19"/>
      <c r="L54" s="19"/>
      <c r="M54" s="19"/>
      <c r="N54" s="19"/>
    </row>
    <row r="55" spans="1:14" ht="12.75" hidden="1" customHeight="1" x14ac:dyDescent="0.2">
      <c r="A55" s="19"/>
      <c r="B55" s="19"/>
      <c r="C55" s="32">
        <f t="shared" si="9"/>
        <v>0</v>
      </c>
      <c r="D55" s="32">
        <f t="shared" si="9"/>
        <v>0</v>
      </c>
      <c r="E55" s="32">
        <f t="shared" si="9"/>
        <v>0</v>
      </c>
      <c r="F55" s="32">
        <f t="shared" si="9"/>
        <v>0</v>
      </c>
      <c r="G55" s="32">
        <f t="shared" si="9"/>
        <v>0</v>
      </c>
      <c r="H55" s="32">
        <f t="shared" si="10"/>
        <v>0</v>
      </c>
      <c r="I55" s="19"/>
      <c r="J55" s="19"/>
      <c r="K55" s="19"/>
      <c r="L55" s="19"/>
      <c r="M55" s="19"/>
      <c r="N55" s="19"/>
    </row>
    <row r="56" spans="1:14" ht="12.75" hidden="1" customHeight="1" x14ac:dyDescent="0.2">
      <c r="A56" s="19"/>
      <c r="B56" s="19"/>
      <c r="C56" s="32">
        <f t="shared" si="9"/>
        <v>0</v>
      </c>
      <c r="D56" s="32">
        <f t="shared" si="9"/>
        <v>0</v>
      </c>
      <c r="E56" s="32">
        <f t="shared" si="9"/>
        <v>0</v>
      </c>
      <c r="F56" s="32">
        <f t="shared" si="9"/>
        <v>0</v>
      </c>
      <c r="G56" s="32">
        <f t="shared" si="9"/>
        <v>0</v>
      </c>
      <c r="H56" s="32">
        <f t="shared" si="10"/>
        <v>0</v>
      </c>
      <c r="I56" s="19"/>
      <c r="J56" s="19"/>
      <c r="K56" s="19"/>
      <c r="L56" s="19"/>
      <c r="M56" s="19"/>
      <c r="N56" s="19"/>
    </row>
    <row r="57" spans="1:14" ht="12.75" hidden="1" customHeight="1" x14ac:dyDescent="0.2">
      <c r="A57" s="19"/>
      <c r="B57" s="19"/>
      <c r="C57" s="32">
        <f t="shared" ref="C57:G58" si="11">C$8*$A18*C18</f>
        <v>0</v>
      </c>
      <c r="D57" s="32">
        <f t="shared" si="11"/>
        <v>0</v>
      </c>
      <c r="E57" s="32">
        <f t="shared" si="11"/>
        <v>0</v>
      </c>
      <c r="F57" s="32">
        <f t="shared" si="11"/>
        <v>0</v>
      </c>
      <c r="G57" s="32">
        <f t="shared" si="11"/>
        <v>0</v>
      </c>
      <c r="H57" s="32">
        <f t="shared" si="10"/>
        <v>0</v>
      </c>
      <c r="I57" s="19"/>
      <c r="J57" s="19"/>
      <c r="K57" s="19"/>
      <c r="L57" s="19"/>
      <c r="M57" s="19"/>
      <c r="N57" s="19"/>
    </row>
    <row r="58" spans="1:14" ht="12.75" hidden="1" customHeight="1" x14ac:dyDescent="0.2">
      <c r="A58" s="19"/>
      <c r="B58" s="19"/>
      <c r="C58" s="32">
        <f t="shared" si="11"/>
        <v>0</v>
      </c>
      <c r="D58" s="32">
        <f t="shared" si="11"/>
        <v>0</v>
      </c>
      <c r="E58" s="32">
        <f t="shared" si="11"/>
        <v>0</v>
      </c>
      <c r="F58" s="32">
        <f t="shared" si="11"/>
        <v>0</v>
      </c>
      <c r="G58" s="32">
        <f t="shared" si="11"/>
        <v>0</v>
      </c>
      <c r="H58" s="32">
        <f t="shared" si="10"/>
        <v>0</v>
      </c>
      <c r="I58" s="19"/>
      <c r="J58" s="19"/>
      <c r="K58" s="19"/>
      <c r="L58" s="19"/>
      <c r="M58" s="19"/>
      <c r="N58" s="19"/>
    </row>
    <row r="59" spans="1:14" ht="12.75" hidden="1" customHeight="1" x14ac:dyDescent="0.2">
      <c r="A59" s="19"/>
      <c r="B59" s="19"/>
      <c r="C59" s="32"/>
      <c r="D59" s="32"/>
      <c r="E59" s="32"/>
      <c r="F59" s="32"/>
      <c r="G59" s="32"/>
      <c r="H59" s="32">
        <f>SUM(H49:H58)</f>
        <v>2181</v>
      </c>
      <c r="I59" s="19"/>
      <c r="J59" s="19"/>
      <c r="K59" s="19"/>
      <c r="L59" s="19"/>
      <c r="M59" s="19"/>
      <c r="N59" s="19"/>
    </row>
    <row r="60" spans="1:14" ht="14.1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12.75" customHeight="1" x14ac:dyDescent="0.2">
      <c r="A61" s="675"/>
      <c r="B61" s="676"/>
      <c r="C61" s="298" t="s">
        <v>190</v>
      </c>
      <c r="D61" s="300" t="s">
        <v>35</v>
      </c>
      <c r="E61" s="299" t="s">
        <v>33</v>
      </c>
      <c r="F61" s="19"/>
      <c r="G61" s="26"/>
      <c r="H61" s="19"/>
      <c r="I61" s="19"/>
      <c r="J61" s="19"/>
      <c r="K61" s="19"/>
      <c r="L61" s="19"/>
      <c r="M61" s="19"/>
      <c r="N61" s="19"/>
    </row>
    <row r="62" spans="1:14" ht="12.75" customHeight="1" x14ac:dyDescent="0.2">
      <c r="A62" s="721" t="s">
        <v>195</v>
      </c>
      <c r="B62" s="722"/>
      <c r="C62" s="502">
        <f>H47</f>
        <v>8.6751836119945089</v>
      </c>
      <c r="D62" s="68">
        <f>(J20-1)*(H22-1)</f>
        <v>2</v>
      </c>
      <c r="E62" s="500">
        <f>IF(CHIDIST(C62,D62)&gt;=0.001,CHIDIST(C62,D62),"&lt;0.001")</f>
        <v>1.3067960524847119E-2</v>
      </c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2.75" customHeight="1" x14ac:dyDescent="0.2">
      <c r="A63" s="721" t="s">
        <v>196</v>
      </c>
      <c r="B63" s="722"/>
      <c r="C63" s="502">
        <f>H20*((H59-H23*K20/H20)^2)/((L20-K20^2/H20)*(H24-H23^2/H20))</f>
        <v>8.4980191249406083</v>
      </c>
      <c r="D63" s="68">
        <f>IF(D62&gt;1,1,"")</f>
        <v>1</v>
      </c>
      <c r="E63" s="500">
        <f>IF(D62&gt;1,IF(CHIDIST(C63,D63)&gt;=0.001,CHIDIST(C63,D63),"&lt;0.001"),"")</f>
        <v>3.5553333427574157E-3</v>
      </c>
      <c r="F63" s="717" t="s">
        <v>198</v>
      </c>
      <c r="G63" s="718"/>
      <c r="H63" s="718"/>
      <c r="I63" s="19"/>
      <c r="J63" s="19"/>
      <c r="K63" s="19"/>
      <c r="L63" s="19"/>
      <c r="M63" s="19"/>
      <c r="N63" s="19"/>
    </row>
    <row r="64" spans="1:14" ht="12.75" customHeight="1" x14ac:dyDescent="0.2">
      <c r="A64" s="719" t="s">
        <v>61</v>
      </c>
      <c r="B64" s="720"/>
      <c r="C64" s="503">
        <f>C62-C63</f>
        <v>0.17716448705390064</v>
      </c>
      <c r="D64" s="71">
        <f>IF(D62&gt;1,D62-1,"")</f>
        <v>1</v>
      </c>
      <c r="E64" s="501">
        <f>IF(D62&gt;1,IF(CHIDIST(C64,D64)&gt;=0.001,CHIDIST(C64,D64),"&lt;0.001"),"")</f>
        <v>0.67382144557622325</v>
      </c>
      <c r="F64" s="717" t="s">
        <v>198</v>
      </c>
      <c r="G64" s="718"/>
      <c r="H64" s="718"/>
      <c r="I64" s="19"/>
      <c r="J64" s="19"/>
      <c r="K64" s="19"/>
      <c r="L64" s="19"/>
      <c r="M64" s="19"/>
      <c r="N64" s="19"/>
    </row>
    <row r="65" spans="1:14" ht="12.7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12.75" customHeight="1" x14ac:dyDescent="0.2">
      <c r="A66" s="392" t="s">
        <v>102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12.75" customHeight="1" x14ac:dyDescent="0.2">
      <c r="A67" s="392" t="s">
        <v>197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14.1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4.1" customHeight="1" x14ac:dyDescent="0.2">
      <c r="A69" s="19" t="s">
        <v>309</v>
      </c>
      <c r="B69" s="19"/>
      <c r="C69" s="19"/>
      <c r="D69" s="19"/>
      <c r="E69" s="641">
        <f>SUM(C74:G83)</f>
        <v>0</v>
      </c>
      <c r="F69" s="19"/>
      <c r="G69" s="19"/>
      <c r="H69" s="19"/>
      <c r="I69" s="19"/>
      <c r="J69" s="19"/>
      <c r="K69" s="19"/>
      <c r="L69" s="19"/>
      <c r="M69" s="19"/>
      <c r="N69" s="19"/>
    </row>
    <row r="70" spans="1:14" x14ac:dyDescent="0.2">
      <c r="A70" s="392" t="s">
        <v>330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4" spans="1:14" hidden="1" x14ac:dyDescent="0.2">
      <c r="A74" t="s">
        <v>308</v>
      </c>
      <c r="C74">
        <f>IF(AND(C26&lt;5,NOT(ISBLANK(C10))),1,0)</f>
        <v>0</v>
      </c>
      <c r="D74" s="470">
        <f t="shared" ref="D74:G74" si="12">IF(AND(D26&lt;5,NOT(ISBLANK(D10))),1,0)</f>
        <v>0</v>
      </c>
      <c r="E74" s="470">
        <f t="shared" si="12"/>
        <v>0</v>
      </c>
      <c r="F74" s="470">
        <f t="shared" si="12"/>
        <v>0</v>
      </c>
      <c r="G74" s="470">
        <f t="shared" si="12"/>
        <v>0</v>
      </c>
    </row>
    <row r="75" spans="1:14" hidden="1" x14ac:dyDescent="0.2">
      <c r="C75" s="470">
        <f t="shared" ref="C75:G75" si="13">IF(AND(C27&lt;5,NOT(ISBLANK(C11))),1,0)</f>
        <v>0</v>
      </c>
      <c r="D75" s="470">
        <f t="shared" si="13"/>
        <v>0</v>
      </c>
      <c r="E75" s="470">
        <f t="shared" si="13"/>
        <v>0</v>
      </c>
      <c r="F75" s="470">
        <f t="shared" si="13"/>
        <v>0</v>
      </c>
      <c r="G75" s="470">
        <f t="shared" si="13"/>
        <v>0</v>
      </c>
    </row>
    <row r="76" spans="1:14" hidden="1" x14ac:dyDescent="0.2">
      <c r="C76" s="470">
        <f t="shared" ref="C76:G76" si="14">IF(AND(C28&lt;5,NOT(ISBLANK(C12))),1,0)</f>
        <v>0</v>
      </c>
      <c r="D76" s="470">
        <f t="shared" si="14"/>
        <v>0</v>
      </c>
      <c r="E76" s="470">
        <f t="shared" si="14"/>
        <v>0</v>
      </c>
      <c r="F76" s="470">
        <f t="shared" si="14"/>
        <v>0</v>
      </c>
      <c r="G76" s="470">
        <f t="shared" si="14"/>
        <v>0</v>
      </c>
    </row>
    <row r="77" spans="1:14" hidden="1" x14ac:dyDescent="0.2">
      <c r="C77" s="470">
        <f t="shared" ref="C77:G77" si="15">IF(AND(C29&lt;5,NOT(ISBLANK(C13))),1,0)</f>
        <v>0</v>
      </c>
      <c r="D77" s="470">
        <f t="shared" si="15"/>
        <v>0</v>
      </c>
      <c r="E77" s="470">
        <f t="shared" si="15"/>
        <v>0</v>
      </c>
      <c r="F77" s="470">
        <f t="shared" si="15"/>
        <v>0</v>
      </c>
      <c r="G77" s="470">
        <f t="shared" si="15"/>
        <v>0</v>
      </c>
    </row>
    <row r="78" spans="1:14" hidden="1" x14ac:dyDescent="0.2">
      <c r="C78" s="470">
        <f t="shared" ref="C78:G78" si="16">IF(AND(C30&lt;5,NOT(ISBLANK(C14))),1,0)</f>
        <v>0</v>
      </c>
      <c r="D78" s="470">
        <f t="shared" si="16"/>
        <v>0</v>
      </c>
      <c r="E78" s="470">
        <f t="shared" si="16"/>
        <v>0</v>
      </c>
      <c r="F78" s="470">
        <f t="shared" si="16"/>
        <v>0</v>
      </c>
      <c r="G78" s="470">
        <f t="shared" si="16"/>
        <v>0</v>
      </c>
    </row>
    <row r="79" spans="1:14" hidden="1" x14ac:dyDescent="0.2">
      <c r="C79" s="470">
        <f t="shared" ref="C79:G79" si="17">IF(AND(C31&lt;5,NOT(ISBLANK(C15))),1,0)</f>
        <v>0</v>
      </c>
      <c r="D79" s="470">
        <f t="shared" si="17"/>
        <v>0</v>
      </c>
      <c r="E79" s="470">
        <f t="shared" si="17"/>
        <v>0</v>
      </c>
      <c r="F79" s="470">
        <f t="shared" si="17"/>
        <v>0</v>
      </c>
      <c r="G79" s="470">
        <f t="shared" si="17"/>
        <v>0</v>
      </c>
    </row>
    <row r="80" spans="1:14" hidden="1" x14ac:dyDescent="0.2">
      <c r="C80" s="470">
        <f t="shared" ref="C80:G80" si="18">IF(AND(C32&lt;5,NOT(ISBLANK(C16))),1,0)</f>
        <v>0</v>
      </c>
      <c r="D80" s="470">
        <f t="shared" si="18"/>
        <v>0</v>
      </c>
      <c r="E80" s="470">
        <f t="shared" si="18"/>
        <v>0</v>
      </c>
      <c r="F80" s="470">
        <f t="shared" si="18"/>
        <v>0</v>
      </c>
      <c r="G80" s="470">
        <f t="shared" si="18"/>
        <v>0</v>
      </c>
    </row>
    <row r="81" spans="3:7" hidden="1" x14ac:dyDescent="0.2">
      <c r="C81" s="470">
        <f t="shared" ref="C81:G81" si="19">IF(AND(C33&lt;5,NOT(ISBLANK(C17))),1,0)</f>
        <v>0</v>
      </c>
      <c r="D81" s="470">
        <f t="shared" si="19"/>
        <v>0</v>
      </c>
      <c r="E81" s="470">
        <f t="shared" si="19"/>
        <v>0</v>
      </c>
      <c r="F81" s="470">
        <f t="shared" si="19"/>
        <v>0</v>
      </c>
      <c r="G81" s="470">
        <f t="shared" si="19"/>
        <v>0</v>
      </c>
    </row>
    <row r="82" spans="3:7" hidden="1" x14ac:dyDescent="0.2">
      <c r="C82" s="470">
        <f t="shared" ref="C82:G82" si="20">IF(AND(C34&lt;5,NOT(ISBLANK(C18))),1,0)</f>
        <v>0</v>
      </c>
      <c r="D82" s="470">
        <f t="shared" si="20"/>
        <v>0</v>
      </c>
      <c r="E82" s="470">
        <f t="shared" si="20"/>
        <v>0</v>
      </c>
      <c r="F82" s="470">
        <f t="shared" si="20"/>
        <v>0</v>
      </c>
      <c r="G82" s="470">
        <f t="shared" si="20"/>
        <v>0</v>
      </c>
    </row>
    <row r="83" spans="3:7" hidden="1" x14ac:dyDescent="0.2">
      <c r="C83" s="470">
        <f t="shared" ref="C83:G83" si="21">IF(AND(C35&lt;5,NOT(ISBLANK(C19))),1,0)</f>
        <v>0</v>
      </c>
      <c r="D83" s="470">
        <f t="shared" si="21"/>
        <v>0</v>
      </c>
      <c r="E83" s="470">
        <f t="shared" si="21"/>
        <v>0</v>
      </c>
      <c r="F83" s="470">
        <f t="shared" si="21"/>
        <v>0</v>
      </c>
      <c r="G83" s="470">
        <f t="shared" si="21"/>
        <v>0</v>
      </c>
    </row>
    <row r="84" spans="3:7" x14ac:dyDescent="0.2">
      <c r="C84" s="470"/>
      <c r="D84" s="470"/>
      <c r="E84" s="470"/>
      <c r="F84" s="470"/>
      <c r="G84" s="470"/>
    </row>
    <row r="85" spans="3:7" x14ac:dyDescent="0.2">
      <c r="C85" s="470"/>
      <c r="D85" s="470"/>
      <c r="E85" s="470"/>
      <c r="F85" s="470"/>
      <c r="G85" s="470"/>
    </row>
    <row r="86" spans="3:7" x14ac:dyDescent="0.2">
      <c r="C86" s="470"/>
      <c r="D86" s="470"/>
      <c r="E86" s="470"/>
      <c r="F86" s="470"/>
      <c r="G86" s="470"/>
    </row>
    <row r="87" spans="3:7" x14ac:dyDescent="0.2">
      <c r="C87" s="470"/>
      <c r="D87" s="470"/>
      <c r="E87" s="470"/>
      <c r="F87" s="470"/>
      <c r="G87" s="470"/>
    </row>
    <row r="88" spans="3:7" x14ac:dyDescent="0.2">
      <c r="C88" s="470"/>
      <c r="D88" s="470"/>
      <c r="E88" s="470"/>
      <c r="F88" s="470"/>
      <c r="G88" s="470"/>
    </row>
    <row r="89" spans="3:7" x14ac:dyDescent="0.2">
      <c r="C89" s="470"/>
      <c r="D89" s="470"/>
      <c r="E89" s="470"/>
      <c r="F89" s="470"/>
      <c r="G89" s="470"/>
    </row>
  </sheetData>
  <sheetProtection sheet="1" formatCells="0" formatColumns="0" formatRows="0"/>
  <mergeCells count="9">
    <mergeCell ref="A5:G5"/>
    <mergeCell ref="A6:G6"/>
    <mergeCell ref="A8:A9"/>
    <mergeCell ref="F64:H64"/>
    <mergeCell ref="A64:B64"/>
    <mergeCell ref="F63:H63"/>
    <mergeCell ref="A61:B61"/>
    <mergeCell ref="A62:B62"/>
    <mergeCell ref="A63:B63"/>
  </mergeCells>
  <phoneticPr fontId="9" type="noConversion"/>
  <conditionalFormatting sqref="E6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/>
  </sheetViews>
  <sheetFormatPr defaultColWidth="9.140625" defaultRowHeight="12.75" x14ac:dyDescent="0.2"/>
  <cols>
    <col min="1" max="1" width="10.7109375" style="470" customWidth="1"/>
    <col min="2" max="2" width="9.140625" style="470" customWidth="1"/>
    <col min="3" max="4" width="8.85546875" style="470" customWidth="1"/>
    <col min="5" max="5" width="9.7109375" style="470" customWidth="1"/>
    <col min="6" max="6" width="10.140625" style="470" customWidth="1"/>
    <col min="7" max="7" width="10" style="470" customWidth="1"/>
    <col min="8" max="8" width="10.5703125" style="470" customWidth="1"/>
    <col min="9" max="9" width="11.42578125" style="470" customWidth="1"/>
    <col min="10" max="10" width="11" style="470" hidden="1" customWidth="1"/>
    <col min="11" max="11" width="9.140625" style="470" hidden="1" customWidth="1"/>
    <col min="12" max="13" width="9.140625" style="470"/>
    <col min="14" max="15" width="7" style="470" bestFit="1" customWidth="1"/>
    <col min="16" max="16" width="7.42578125" style="470" bestFit="1" customWidth="1"/>
    <col min="17" max="16384" width="9.140625" style="470"/>
  </cols>
  <sheetData>
    <row r="1" spans="1:17" ht="12.75" customHeight="1" x14ac:dyDescent="0.2">
      <c r="A1" s="306" t="s">
        <v>260</v>
      </c>
      <c r="B1" s="506"/>
      <c r="C1" s="507"/>
      <c r="D1" s="507"/>
      <c r="E1" s="508"/>
      <c r="F1" s="326"/>
      <c r="G1" s="306"/>
      <c r="H1" s="306"/>
    </row>
    <row r="2" spans="1:17" ht="12.75" customHeight="1" x14ac:dyDescent="0.2">
      <c r="A2" s="480" t="s">
        <v>247</v>
      </c>
      <c r="B2" s="507"/>
      <c r="C2" s="507"/>
      <c r="D2" s="507"/>
      <c r="E2" s="508"/>
      <c r="F2" s="326"/>
      <c r="G2" s="306"/>
      <c r="H2" s="306"/>
    </row>
    <row r="3" spans="1:17" ht="12.75" customHeight="1" x14ac:dyDescent="0.2">
      <c r="A3" s="19"/>
      <c r="B3" s="19"/>
      <c r="C3" s="20"/>
      <c r="D3" s="20"/>
      <c r="E3" s="20"/>
      <c r="F3" s="20"/>
      <c r="G3" s="20"/>
      <c r="H3" s="20"/>
    </row>
    <row r="4" spans="1:17" ht="12.75" customHeight="1" x14ac:dyDescent="0.2">
      <c r="A4" s="687" t="s">
        <v>248</v>
      </c>
      <c r="B4" s="688"/>
      <c r="C4" s="688"/>
      <c r="D4" s="688"/>
      <c r="E4" s="688"/>
      <c r="F4" s="688"/>
      <c r="G4" s="689"/>
      <c r="H4" s="19"/>
      <c r="I4" s="19"/>
    </row>
    <row r="5" spans="1:17" ht="12.75" customHeight="1" x14ac:dyDescent="0.2">
      <c r="A5" s="693" t="s">
        <v>249</v>
      </c>
      <c r="B5" s="694"/>
      <c r="C5" s="694"/>
      <c r="D5" s="694"/>
      <c r="E5" s="694"/>
      <c r="F5" s="694"/>
      <c r="G5" s="695"/>
      <c r="H5" s="19"/>
      <c r="I5" s="19"/>
    </row>
    <row r="6" spans="1:17" ht="12.75" customHeight="1" x14ac:dyDescent="0.2"/>
    <row r="7" spans="1:17" ht="12.75" customHeight="1" x14ac:dyDescent="0.2">
      <c r="A7" s="97" t="s">
        <v>92</v>
      </c>
      <c r="B7" s="120"/>
      <c r="C7" s="120"/>
      <c r="D7" s="32"/>
      <c r="E7" s="106"/>
      <c r="F7" s="106"/>
      <c r="G7" s="106" t="str">
        <f>IF(E4="","",E4+1.96*F4)</f>
        <v/>
      </c>
      <c r="H7" s="19"/>
      <c r="I7" s="19"/>
    </row>
    <row r="8" spans="1:17" ht="12.75" customHeight="1" x14ac:dyDescent="0.2">
      <c r="A8" s="228">
        <v>1</v>
      </c>
      <c r="B8" s="481" t="s">
        <v>250</v>
      </c>
      <c r="C8" s="482"/>
      <c r="D8" s="482"/>
      <c r="E8" s="482"/>
      <c r="F8" s="482"/>
      <c r="G8" s="483"/>
      <c r="H8" s="19"/>
      <c r="I8" s="19"/>
      <c r="J8" s="320"/>
      <c r="K8" s="320"/>
      <c r="L8" s="320"/>
      <c r="M8" s="320"/>
      <c r="N8" s="320"/>
      <c r="O8" s="320"/>
      <c r="P8" s="320"/>
      <c r="Q8" s="320"/>
    </row>
    <row r="9" spans="1:17" ht="12.75" customHeight="1" x14ac:dyDescent="0.2">
      <c r="A9" s="19"/>
      <c r="B9" s="675" t="s">
        <v>4</v>
      </c>
      <c r="C9" s="676"/>
      <c r="D9" s="676"/>
      <c r="E9" s="677"/>
      <c r="F9" s="675" t="s">
        <v>173</v>
      </c>
      <c r="G9" s="677"/>
      <c r="J9" s="320"/>
      <c r="K9" s="320"/>
      <c r="L9" s="320"/>
      <c r="M9" s="320"/>
      <c r="N9" s="320"/>
      <c r="O9" s="320"/>
      <c r="P9" s="320"/>
      <c r="Q9" s="320"/>
    </row>
    <row r="10" spans="1:17" ht="12.75" customHeight="1" x14ac:dyDescent="0.2">
      <c r="A10" s="474" t="s">
        <v>107</v>
      </c>
      <c r="B10" s="472" t="s">
        <v>171</v>
      </c>
      <c r="C10" s="475" t="s">
        <v>31</v>
      </c>
      <c r="D10" s="475" t="s">
        <v>26</v>
      </c>
      <c r="E10" s="478" t="s">
        <v>2</v>
      </c>
      <c r="F10" s="685" t="s">
        <v>12</v>
      </c>
      <c r="G10" s="685"/>
      <c r="H10" s="548" t="s">
        <v>201</v>
      </c>
      <c r="I10" s="403" t="s">
        <v>232</v>
      </c>
      <c r="J10" s="34" t="s">
        <v>175</v>
      </c>
      <c r="K10" s="34" t="s">
        <v>175</v>
      </c>
      <c r="M10" s="320"/>
      <c r="N10" s="320"/>
      <c r="O10" s="320"/>
      <c r="P10" s="320"/>
      <c r="Q10" s="320"/>
    </row>
    <row r="11" spans="1:17" ht="12.75" customHeight="1" x14ac:dyDescent="0.2">
      <c r="A11" s="35" t="str">
        <f>"2"</f>
        <v>2</v>
      </c>
      <c r="B11" s="556">
        <v>30</v>
      </c>
      <c r="C11" s="386">
        <v>140</v>
      </c>
      <c r="D11" s="557">
        <v>154.91929999999999</v>
      </c>
      <c r="E11" s="387">
        <f>IF(J11,D11/SQRT(B11),"")</f>
        <v>28.284265067636692</v>
      </c>
      <c r="F11" s="366">
        <f>IF(K11,C11-1.96*E11,"")</f>
        <v>84.562840467432082</v>
      </c>
      <c r="G11" s="217">
        <f>IF(K11,C11+1.96*E11,"")</f>
        <v>195.43715953256793</v>
      </c>
      <c r="H11" s="32"/>
      <c r="I11" s="32"/>
      <c r="J11" s="320" t="b">
        <f>AND(D11&gt;0,B11&gt;0,INT(B11)=B11)</f>
        <v>1</v>
      </c>
      <c r="K11" s="320" t="b">
        <f>AND(J11,NOT(ISBLANK(C11)))</f>
        <v>1</v>
      </c>
      <c r="M11" s="320"/>
      <c r="N11" s="320"/>
      <c r="O11" s="320"/>
      <c r="P11" s="320"/>
      <c r="Q11" s="320"/>
    </row>
    <row r="12" spans="1:17" ht="12.75" customHeight="1" x14ac:dyDescent="0.2">
      <c r="A12" s="29" t="str">
        <f>"1 (Ref)"</f>
        <v>1 (Ref)</v>
      </c>
      <c r="B12" s="558">
        <v>30</v>
      </c>
      <c r="C12" s="388">
        <v>180</v>
      </c>
      <c r="D12" s="559">
        <v>154.91929999999999</v>
      </c>
      <c r="E12" s="367">
        <f>IF(J12,D12/SQRT(B12),"")</f>
        <v>28.284265067636692</v>
      </c>
      <c r="F12" s="218">
        <f>IF(K12,C12-1.96*E12,"")</f>
        <v>124.56284046743208</v>
      </c>
      <c r="G12" s="195">
        <f>IF(K12,C12+1.96*E12,"")</f>
        <v>235.43715953256793</v>
      </c>
      <c r="H12" s="32"/>
      <c r="I12" s="32"/>
      <c r="J12" s="320" t="b">
        <f>AND(D12&gt;0,B12&gt;0,INT(B12)=B12)</f>
        <v>1</v>
      </c>
      <c r="K12" s="320" t="b">
        <f>AND(J12,NOT(ISBLANK(C12)))</f>
        <v>1</v>
      </c>
      <c r="M12" s="320"/>
      <c r="N12" s="320"/>
      <c r="O12" s="320"/>
      <c r="P12" s="320"/>
      <c r="Q12" s="320"/>
    </row>
    <row r="13" spans="1:17" ht="12.75" customHeight="1" x14ac:dyDescent="0.2">
      <c r="A13" s="29" t="s">
        <v>67</v>
      </c>
      <c r="B13" s="233"/>
      <c r="C13" s="367">
        <f>IF(K13,C11-C12,"")</f>
        <v>-40</v>
      </c>
      <c r="D13" s="367"/>
      <c r="E13" s="367">
        <f>IF(J13,SQRT(E11^2+E12^2),"")</f>
        <v>39.999991260407377</v>
      </c>
      <c r="F13" s="477">
        <f>IF(K13,C13-1.96*E13,"")</f>
        <v>-118.39998287039846</v>
      </c>
      <c r="G13" s="195">
        <f>IF(K13,C13+1.96*E13,"")</f>
        <v>38.39998287039846</v>
      </c>
      <c r="H13" s="106">
        <f>IF(K13,1/(E13^2),"")</f>
        <v>6.2500027311235902E-4</v>
      </c>
      <c r="I13" s="106">
        <f>IF(K13,C13*H13,"")</f>
        <v>-2.5000010924494359E-2</v>
      </c>
      <c r="J13" s="320" t="b">
        <f>AND(J11,J12)</f>
        <v>1</v>
      </c>
      <c r="K13" s="320" t="b">
        <f>AND(K11,K12)</f>
        <v>1</v>
      </c>
      <c r="M13" s="320"/>
      <c r="N13" s="320"/>
      <c r="O13" s="320"/>
      <c r="P13" s="320"/>
      <c r="Q13" s="320"/>
    </row>
    <row r="14" spans="1:17" ht="12.75" customHeight="1" x14ac:dyDescent="0.2">
      <c r="H14" s="106"/>
      <c r="I14" s="106"/>
      <c r="J14" s="106"/>
      <c r="K14" s="320"/>
      <c r="L14" s="320"/>
      <c r="M14" s="320"/>
      <c r="N14" s="320"/>
      <c r="O14" s="320"/>
      <c r="P14" s="320"/>
      <c r="Q14" s="320"/>
    </row>
    <row r="15" spans="1:17" ht="12.75" customHeight="1" x14ac:dyDescent="0.2">
      <c r="A15" s="97" t="s">
        <v>92</v>
      </c>
      <c r="B15" s="120"/>
      <c r="C15" s="120"/>
      <c r="D15" s="32"/>
      <c r="E15" s="106"/>
      <c r="F15" s="106"/>
      <c r="G15" s="106"/>
      <c r="H15" s="19"/>
      <c r="I15" s="19"/>
      <c r="L15" s="320"/>
      <c r="M15" s="320"/>
      <c r="N15" s="320"/>
      <c r="O15" s="320"/>
      <c r="P15" s="320"/>
      <c r="Q15" s="320"/>
    </row>
    <row r="16" spans="1:17" ht="12.75" customHeight="1" x14ac:dyDescent="0.2">
      <c r="A16" s="228">
        <v>2</v>
      </c>
      <c r="B16" s="481" t="s">
        <v>251</v>
      </c>
      <c r="C16" s="482"/>
      <c r="D16" s="482"/>
      <c r="E16" s="482"/>
      <c r="F16" s="482"/>
      <c r="G16" s="483"/>
      <c r="H16" s="19"/>
      <c r="I16" s="19"/>
      <c r="J16" s="320"/>
      <c r="K16" s="320"/>
      <c r="L16" s="320"/>
      <c r="M16" s="320"/>
      <c r="N16" s="320"/>
      <c r="O16" s="320"/>
      <c r="P16" s="320"/>
      <c r="Q16" s="320"/>
    </row>
    <row r="17" spans="1:17" ht="12.75" customHeight="1" x14ac:dyDescent="0.2">
      <c r="A17" s="19"/>
      <c r="B17" s="675" t="s">
        <v>4</v>
      </c>
      <c r="C17" s="676"/>
      <c r="D17" s="676"/>
      <c r="E17" s="677"/>
      <c r="F17" s="675" t="s">
        <v>173</v>
      </c>
      <c r="G17" s="677"/>
      <c r="J17" s="320"/>
      <c r="K17" s="320"/>
      <c r="L17" s="320"/>
      <c r="M17" s="320"/>
      <c r="N17" s="320"/>
      <c r="O17" s="320"/>
      <c r="P17" s="320"/>
      <c r="Q17" s="320"/>
    </row>
    <row r="18" spans="1:17" ht="12.75" customHeight="1" x14ac:dyDescent="0.2">
      <c r="A18" s="474" t="s">
        <v>107</v>
      </c>
      <c r="B18" s="472" t="s">
        <v>171</v>
      </c>
      <c r="C18" s="475" t="s">
        <v>31</v>
      </c>
      <c r="D18" s="475" t="s">
        <v>26</v>
      </c>
      <c r="E18" s="478" t="s">
        <v>2</v>
      </c>
      <c r="F18" s="685" t="s">
        <v>12</v>
      </c>
      <c r="G18" s="685"/>
      <c r="H18" s="548" t="s">
        <v>201</v>
      </c>
      <c r="I18" s="403" t="s">
        <v>232</v>
      </c>
      <c r="J18" s="34" t="s">
        <v>175</v>
      </c>
      <c r="K18" s="34" t="s">
        <v>175</v>
      </c>
      <c r="L18" s="320"/>
      <c r="M18" s="320"/>
      <c r="N18" s="320"/>
      <c r="O18" s="320"/>
      <c r="P18" s="320"/>
      <c r="Q18" s="320"/>
    </row>
    <row r="19" spans="1:17" ht="12.75" customHeight="1" x14ac:dyDescent="0.2">
      <c r="A19" s="35" t="str">
        <f>"2"</f>
        <v>2</v>
      </c>
      <c r="B19" s="556">
        <v>40</v>
      </c>
      <c r="C19" s="386">
        <v>160</v>
      </c>
      <c r="D19" s="557">
        <v>147.5805</v>
      </c>
      <c r="E19" s="387">
        <f>IF(J19,D19/SQRT(B19),"")</f>
        <v>23.334525911323976</v>
      </c>
      <c r="F19" s="366">
        <f>IF(K19,C19-1.96*E19,"")</f>
        <v>114.26432921380501</v>
      </c>
      <c r="G19" s="217">
        <f>IF(K19,C19+1.96*E19,"")</f>
        <v>205.73567078619499</v>
      </c>
      <c r="H19" s="32"/>
      <c r="I19" s="32"/>
      <c r="J19" s="320" t="b">
        <f>AND(D19&gt;0,B19&gt;0,INT(B19)=B19)</f>
        <v>1</v>
      </c>
      <c r="K19" s="320" t="b">
        <f>AND(J19,NOT(ISBLANK(C19)))</f>
        <v>1</v>
      </c>
      <c r="L19" s="320"/>
      <c r="M19" s="320"/>
      <c r="N19" s="320"/>
      <c r="O19" s="320"/>
      <c r="P19" s="320"/>
      <c r="Q19" s="320"/>
    </row>
    <row r="20" spans="1:17" ht="12.75" customHeight="1" x14ac:dyDescent="0.2">
      <c r="A20" s="29" t="str">
        <f>"1 (Ref)"</f>
        <v>1 (Ref)</v>
      </c>
      <c r="B20" s="558">
        <v>40</v>
      </c>
      <c r="C20" s="388">
        <v>180</v>
      </c>
      <c r="D20" s="559">
        <v>147.5805</v>
      </c>
      <c r="E20" s="367">
        <f>IF(J20,D20/SQRT(B20),"")</f>
        <v>23.334525911323976</v>
      </c>
      <c r="F20" s="218">
        <f>IF(K20,C20-1.96*E20,"")</f>
        <v>134.26432921380501</v>
      </c>
      <c r="G20" s="195">
        <f>IF(K20,C20+1.96*E20,"")</f>
        <v>225.73567078619499</v>
      </c>
      <c r="H20" s="32"/>
      <c r="I20" s="32"/>
      <c r="J20" s="320" t="b">
        <f>AND(D20&gt;0,B20&gt;0,INT(B20)=B20)</f>
        <v>1</v>
      </c>
      <c r="K20" s="320" t="b">
        <f>AND(J20,NOT(ISBLANK(C20)))</f>
        <v>1</v>
      </c>
      <c r="L20" s="320"/>
      <c r="M20" s="320"/>
      <c r="N20" s="320"/>
      <c r="O20" s="320"/>
      <c r="P20" s="320"/>
      <c r="Q20" s="320"/>
    </row>
    <row r="21" spans="1:17" ht="12.75" customHeight="1" x14ac:dyDescent="0.2">
      <c r="A21" s="29" t="s">
        <v>67</v>
      </c>
      <c r="B21" s="233"/>
      <c r="C21" s="367">
        <f>IF(K21,C19-C20,"")</f>
        <v>-20</v>
      </c>
      <c r="D21" s="367"/>
      <c r="E21" s="367">
        <f>IF(J21,SQRT(E19^2+E20^2),"")</f>
        <v>33.000003015340774</v>
      </c>
      <c r="F21" s="477">
        <f>IF(K21,C21-1.96*E21,"")</f>
        <v>-84.680005910067919</v>
      </c>
      <c r="G21" s="195">
        <f>IF(K21,C21+1.96*E21,"")</f>
        <v>44.680005910067919</v>
      </c>
      <c r="H21" s="106">
        <f>IF(K21,1/(E21^2),"")</f>
        <v>9.1827347773379192E-4</v>
      </c>
      <c r="I21" s="106">
        <f>IF(K21,C21*H21,"")</f>
        <v>-1.8365469554675839E-2</v>
      </c>
      <c r="J21" s="320" t="b">
        <f>AND(J19,J20)</f>
        <v>1</v>
      </c>
      <c r="K21" s="320" t="b">
        <f>AND(K19,K20)</f>
        <v>1</v>
      </c>
      <c r="L21" s="320"/>
      <c r="M21" s="320"/>
      <c r="N21" s="320"/>
      <c r="O21" s="320"/>
      <c r="P21" s="320"/>
      <c r="Q21" s="320"/>
    </row>
    <row r="22" spans="1:17" ht="12.75" customHeight="1" x14ac:dyDescent="0.2">
      <c r="A22" s="325"/>
      <c r="B22" s="325"/>
      <c r="C22" s="325"/>
      <c r="D22" s="325"/>
      <c r="E22" s="325"/>
      <c r="F22" s="325"/>
      <c r="G22" s="325"/>
      <c r="H22" s="325"/>
      <c r="I22" s="325"/>
      <c r="J22" s="325"/>
      <c r="K22" s="320"/>
      <c r="L22" s="320"/>
      <c r="M22" s="320"/>
      <c r="N22" s="320"/>
      <c r="O22" s="320"/>
      <c r="P22" s="320"/>
      <c r="Q22" s="320"/>
    </row>
    <row r="23" spans="1:17" ht="12.75" customHeight="1" x14ac:dyDescent="0.2">
      <c r="A23" s="97" t="s">
        <v>92</v>
      </c>
      <c r="B23" s="120"/>
      <c r="C23" s="120"/>
      <c r="D23" s="32"/>
      <c r="E23" s="106"/>
      <c r="F23" s="106"/>
      <c r="G23" s="106"/>
      <c r="H23" s="19"/>
      <c r="I23" s="19"/>
      <c r="L23" s="320"/>
      <c r="M23" s="320"/>
      <c r="N23" s="320"/>
      <c r="O23" s="320"/>
      <c r="P23" s="320"/>
      <c r="Q23" s="320"/>
    </row>
    <row r="24" spans="1:17" ht="12.75" customHeight="1" x14ac:dyDescent="0.2">
      <c r="A24" s="228">
        <v>3</v>
      </c>
      <c r="B24" s="481"/>
      <c r="C24" s="482"/>
      <c r="D24" s="482"/>
      <c r="E24" s="482"/>
      <c r="F24" s="482"/>
      <c r="G24" s="483"/>
      <c r="H24" s="19"/>
      <c r="I24" s="19"/>
      <c r="J24" s="320"/>
      <c r="K24" s="320"/>
      <c r="L24" s="320"/>
      <c r="M24" s="320"/>
      <c r="N24" s="320"/>
      <c r="O24" s="320"/>
      <c r="P24" s="320"/>
      <c r="Q24" s="320"/>
    </row>
    <row r="25" spans="1:17" ht="12.75" customHeight="1" x14ac:dyDescent="0.2">
      <c r="A25" s="19"/>
      <c r="B25" s="675" t="s">
        <v>4</v>
      </c>
      <c r="C25" s="676"/>
      <c r="D25" s="676"/>
      <c r="E25" s="677"/>
      <c r="F25" s="675" t="s">
        <v>173</v>
      </c>
      <c r="G25" s="677"/>
      <c r="J25" s="320"/>
      <c r="K25" s="320"/>
      <c r="L25" s="320"/>
      <c r="M25" s="320"/>
      <c r="N25" s="320"/>
      <c r="O25" s="320"/>
      <c r="P25" s="320"/>
      <c r="Q25" s="320"/>
    </row>
    <row r="26" spans="1:17" ht="12.75" customHeight="1" x14ac:dyDescent="0.2">
      <c r="A26" s="474" t="s">
        <v>107</v>
      </c>
      <c r="B26" s="472" t="s">
        <v>171</v>
      </c>
      <c r="C26" s="475" t="s">
        <v>31</v>
      </c>
      <c r="D26" s="475" t="s">
        <v>26</v>
      </c>
      <c r="E26" s="478" t="s">
        <v>2</v>
      </c>
      <c r="F26" s="685" t="s">
        <v>12</v>
      </c>
      <c r="G26" s="685"/>
      <c r="H26" s="548" t="s">
        <v>201</v>
      </c>
      <c r="I26" s="403" t="s">
        <v>232</v>
      </c>
      <c r="J26" s="34" t="s">
        <v>175</v>
      </c>
      <c r="K26" s="34" t="s">
        <v>175</v>
      </c>
      <c r="L26" s="320"/>
      <c r="M26" s="320"/>
      <c r="N26" s="320"/>
      <c r="O26" s="320"/>
      <c r="P26" s="320"/>
      <c r="Q26" s="320"/>
    </row>
    <row r="27" spans="1:17" ht="12.75" customHeight="1" x14ac:dyDescent="0.2">
      <c r="A27" s="35" t="str">
        <f>"2"</f>
        <v>2</v>
      </c>
      <c r="B27" s="556"/>
      <c r="C27" s="386"/>
      <c r="D27" s="557"/>
      <c r="E27" s="387" t="str">
        <f>IF(J27,D27/SQRT(B27),"")</f>
        <v/>
      </c>
      <c r="F27" s="366" t="str">
        <f>IF(K27,C27-1.96*E27,"")</f>
        <v/>
      </c>
      <c r="G27" s="217" t="str">
        <f>IF(K27,C27+1.96*E27,"")</f>
        <v/>
      </c>
      <c r="H27" s="32"/>
      <c r="I27" s="32"/>
      <c r="J27" s="320" t="b">
        <f>AND(D27&gt;0,B27&gt;0,INT(B27)=B27)</f>
        <v>0</v>
      </c>
      <c r="K27" s="320" t="b">
        <f>AND(J27,NOT(ISBLANK(C27)))</f>
        <v>0</v>
      </c>
      <c r="L27" s="320"/>
      <c r="M27" s="320"/>
      <c r="N27" s="320"/>
      <c r="O27" s="320"/>
      <c r="P27" s="320"/>
      <c r="Q27" s="320"/>
    </row>
    <row r="28" spans="1:17" ht="12.75" customHeight="1" x14ac:dyDescent="0.2">
      <c r="A28" s="29" t="str">
        <f>"1 (Ref)"</f>
        <v>1 (Ref)</v>
      </c>
      <c r="B28" s="558"/>
      <c r="C28" s="388"/>
      <c r="D28" s="559"/>
      <c r="E28" s="367" t="str">
        <f>IF(J28,D28/SQRT(B28),"")</f>
        <v/>
      </c>
      <c r="F28" s="218" t="str">
        <f>IF(K28,C28-1.96*E28,"")</f>
        <v/>
      </c>
      <c r="G28" s="195" t="str">
        <f>IF(K28,C28+1.96*E28,"")</f>
        <v/>
      </c>
      <c r="H28" s="32"/>
      <c r="I28" s="32"/>
      <c r="J28" s="320" t="b">
        <f>AND(D28&gt;0,B28&gt;0,INT(B28)=B28)</f>
        <v>0</v>
      </c>
      <c r="K28" s="320" t="b">
        <f>AND(J28,NOT(ISBLANK(C28)))</f>
        <v>0</v>
      </c>
      <c r="L28" s="320"/>
      <c r="M28" s="320"/>
      <c r="N28" s="320"/>
      <c r="O28" s="320"/>
      <c r="P28" s="320"/>
      <c r="Q28" s="320"/>
    </row>
    <row r="29" spans="1:17" ht="12.75" customHeight="1" x14ac:dyDescent="0.2">
      <c r="A29" s="29" t="s">
        <v>67</v>
      </c>
      <c r="B29" s="233"/>
      <c r="C29" s="367" t="str">
        <f>IF(K29,C27-C28,"")</f>
        <v/>
      </c>
      <c r="D29" s="367"/>
      <c r="E29" s="367" t="str">
        <f>IF(J29,SQRT(E27^2+E28^2),"")</f>
        <v/>
      </c>
      <c r="F29" s="477" t="str">
        <f>IF(K29,C29-1.96*E29,"")</f>
        <v/>
      </c>
      <c r="G29" s="195" t="str">
        <f>IF(K29,C29+1.96*E29,"")</f>
        <v/>
      </c>
      <c r="H29" s="106" t="str">
        <f>IF(K29,1/(E29^2),"")</f>
        <v/>
      </c>
      <c r="I29" s="106" t="str">
        <f>IF(K29,C29*H29,"")</f>
        <v/>
      </c>
      <c r="J29" s="320" t="b">
        <f>AND(J27,J28)</f>
        <v>0</v>
      </c>
      <c r="K29" s="320" t="b">
        <f>AND(K27,K28)</f>
        <v>0</v>
      </c>
      <c r="L29" s="320"/>
      <c r="M29" s="320"/>
      <c r="N29" s="320"/>
      <c r="O29" s="320"/>
      <c r="P29" s="320"/>
      <c r="Q29" s="320"/>
    </row>
    <row r="30" spans="1:17" ht="12.75" customHeight="1" x14ac:dyDescent="0.2">
      <c r="A30" s="325"/>
      <c r="B30" s="325"/>
      <c r="C30" s="325"/>
      <c r="D30" s="325"/>
      <c r="E30" s="325"/>
      <c r="F30" s="325"/>
      <c r="G30" s="325"/>
      <c r="H30" s="325"/>
      <c r="I30" s="325"/>
      <c r="J30" s="325"/>
      <c r="K30" s="320"/>
      <c r="L30" s="320"/>
      <c r="M30" s="320"/>
      <c r="N30" s="320"/>
      <c r="O30" s="320"/>
      <c r="P30" s="320"/>
      <c r="Q30" s="320"/>
    </row>
    <row r="31" spans="1:17" ht="12.75" customHeight="1" x14ac:dyDescent="0.2">
      <c r="A31" s="97" t="s">
        <v>92</v>
      </c>
      <c r="B31" s="120"/>
      <c r="C31" s="120"/>
      <c r="D31" s="32"/>
      <c r="E31" s="106"/>
      <c r="F31" s="106"/>
      <c r="G31" s="106"/>
      <c r="H31" s="19"/>
      <c r="I31" s="19"/>
      <c r="L31" s="320"/>
      <c r="M31" s="320"/>
      <c r="N31" s="320"/>
      <c r="O31" s="320"/>
      <c r="P31" s="320"/>
      <c r="Q31" s="320"/>
    </row>
    <row r="32" spans="1:17" ht="12.75" customHeight="1" x14ac:dyDescent="0.2">
      <c r="A32" s="228">
        <v>4</v>
      </c>
      <c r="B32" s="481"/>
      <c r="C32" s="482"/>
      <c r="D32" s="482"/>
      <c r="E32" s="482"/>
      <c r="F32" s="482"/>
      <c r="G32" s="483"/>
      <c r="H32" s="19"/>
      <c r="I32" s="19"/>
      <c r="J32" s="320"/>
      <c r="K32" s="320"/>
      <c r="L32" s="320"/>
      <c r="M32" s="320"/>
      <c r="N32" s="320"/>
      <c r="O32" s="320"/>
      <c r="P32" s="320"/>
      <c r="Q32" s="320"/>
    </row>
    <row r="33" spans="1:17" ht="12.75" customHeight="1" x14ac:dyDescent="0.2">
      <c r="A33" s="19"/>
      <c r="B33" s="675" t="s">
        <v>4</v>
      </c>
      <c r="C33" s="676"/>
      <c r="D33" s="676"/>
      <c r="E33" s="677"/>
      <c r="F33" s="675" t="s">
        <v>173</v>
      </c>
      <c r="G33" s="677"/>
      <c r="J33" s="320"/>
      <c r="K33" s="320"/>
      <c r="L33" s="320"/>
      <c r="M33" s="320"/>
      <c r="N33" s="320"/>
      <c r="O33" s="320"/>
      <c r="P33" s="320"/>
      <c r="Q33" s="320"/>
    </row>
    <row r="34" spans="1:17" ht="12.75" customHeight="1" x14ac:dyDescent="0.2">
      <c r="A34" s="474" t="s">
        <v>107</v>
      </c>
      <c r="B34" s="472" t="s">
        <v>171</v>
      </c>
      <c r="C34" s="475" t="s">
        <v>31</v>
      </c>
      <c r="D34" s="475" t="s">
        <v>26</v>
      </c>
      <c r="E34" s="478" t="s">
        <v>2</v>
      </c>
      <c r="F34" s="685" t="s">
        <v>12</v>
      </c>
      <c r="G34" s="685"/>
      <c r="H34" s="548" t="s">
        <v>201</v>
      </c>
      <c r="I34" s="403" t="s">
        <v>232</v>
      </c>
      <c r="J34" s="34" t="s">
        <v>175</v>
      </c>
      <c r="K34" s="34" t="s">
        <v>175</v>
      </c>
      <c r="L34" s="320"/>
      <c r="M34" s="320"/>
      <c r="N34" s="320"/>
      <c r="O34" s="320"/>
      <c r="P34" s="320"/>
      <c r="Q34" s="320"/>
    </row>
    <row r="35" spans="1:17" s="202" customFormat="1" ht="12.75" customHeight="1" x14ac:dyDescent="0.2">
      <c r="A35" s="35" t="str">
        <f>"2"</f>
        <v>2</v>
      </c>
      <c r="B35" s="556"/>
      <c r="C35" s="386"/>
      <c r="D35" s="557"/>
      <c r="E35" s="387" t="str">
        <f>IF(J35,D35/SQRT(B35),"")</f>
        <v/>
      </c>
      <c r="F35" s="366" t="str">
        <f>IF(K35,C35-1.96*E35,"")</f>
        <v/>
      </c>
      <c r="G35" s="217" t="str">
        <f>IF(K35,C35+1.96*E35,"")</f>
        <v/>
      </c>
      <c r="H35" s="32"/>
      <c r="I35" s="32"/>
      <c r="J35" s="320" t="b">
        <f>AND(D35&gt;0,B35&gt;0,INT(B35)=B35)</f>
        <v>0</v>
      </c>
      <c r="K35" s="320" t="b">
        <f>AND(J35,NOT(ISBLANK(C35)))</f>
        <v>0</v>
      </c>
      <c r="L35" s="320"/>
      <c r="M35" s="320"/>
      <c r="N35" s="320"/>
      <c r="O35" s="320"/>
      <c r="P35" s="320"/>
      <c r="Q35" s="320"/>
    </row>
    <row r="36" spans="1:17" ht="12.75" customHeight="1" x14ac:dyDescent="0.2">
      <c r="A36" s="29" t="str">
        <f>"1 (Ref)"</f>
        <v>1 (Ref)</v>
      </c>
      <c r="B36" s="558"/>
      <c r="C36" s="388"/>
      <c r="D36" s="559"/>
      <c r="E36" s="367" t="str">
        <f>IF(J36,D36/SQRT(B36),"")</f>
        <v/>
      </c>
      <c r="F36" s="218" t="str">
        <f>IF(K36,C36-1.96*E36,"")</f>
        <v/>
      </c>
      <c r="G36" s="195" t="str">
        <f>IF(K36,C36+1.96*E36,"")</f>
        <v/>
      </c>
      <c r="H36" s="32"/>
      <c r="I36" s="32"/>
      <c r="J36" s="320" t="b">
        <f>AND(D36&gt;0,B36&gt;0,INT(B36)=B36)</f>
        <v>0</v>
      </c>
      <c r="K36" s="320" t="b">
        <f>AND(J36,NOT(ISBLANK(C36)))</f>
        <v>0</v>
      </c>
      <c r="L36" s="320"/>
      <c r="M36" s="320"/>
      <c r="N36" s="320"/>
      <c r="O36" s="320"/>
      <c r="P36" s="320"/>
      <c r="Q36" s="320"/>
    </row>
    <row r="37" spans="1:17" ht="12.75" customHeight="1" x14ac:dyDescent="0.2">
      <c r="A37" s="29" t="s">
        <v>67</v>
      </c>
      <c r="B37" s="233"/>
      <c r="C37" s="367" t="str">
        <f>IF(K37,C35-C36,"")</f>
        <v/>
      </c>
      <c r="D37" s="367"/>
      <c r="E37" s="367" t="str">
        <f>IF(J37,SQRT(E35^2+E36^2),"")</f>
        <v/>
      </c>
      <c r="F37" s="477" t="str">
        <f>IF(K37,C37-1.96*E37,"")</f>
        <v/>
      </c>
      <c r="G37" s="195" t="str">
        <f>IF(K37,C37+1.96*E37,"")</f>
        <v/>
      </c>
      <c r="H37" s="106" t="str">
        <f>IF(K37,1/(E37^2),"")</f>
        <v/>
      </c>
      <c r="I37" s="106" t="str">
        <f>IF(K37,C37*H37,"")</f>
        <v/>
      </c>
      <c r="J37" s="320" t="b">
        <f>AND(J35,J36)</f>
        <v>0</v>
      </c>
      <c r="K37" s="320" t="b">
        <f>AND(K35,K36)</f>
        <v>0</v>
      </c>
      <c r="L37" s="320"/>
      <c r="M37" s="320"/>
      <c r="N37" s="320"/>
      <c r="O37" s="320"/>
      <c r="P37" s="320"/>
      <c r="Q37" s="320"/>
    </row>
    <row r="38" spans="1:17" ht="12.75" customHeight="1" x14ac:dyDescent="0.2">
      <c r="A38" s="325"/>
      <c r="B38" s="325"/>
      <c r="C38" s="325"/>
      <c r="D38" s="325"/>
      <c r="E38" s="325"/>
      <c r="F38" s="325"/>
      <c r="G38" s="325"/>
      <c r="H38" s="325"/>
      <c r="I38" s="325"/>
      <c r="J38" s="325"/>
      <c r="K38" s="320"/>
      <c r="L38" s="320"/>
      <c r="M38" s="320"/>
      <c r="N38" s="320"/>
      <c r="O38" s="320"/>
      <c r="P38" s="320"/>
      <c r="Q38" s="320"/>
    </row>
    <row r="39" spans="1:17" ht="12.75" customHeight="1" x14ac:dyDescent="0.2">
      <c r="A39" s="97" t="s">
        <v>92</v>
      </c>
      <c r="B39" s="120"/>
      <c r="C39" s="120"/>
      <c r="D39" s="32"/>
      <c r="E39" s="106"/>
      <c r="F39" s="106"/>
      <c r="G39" s="106"/>
      <c r="H39" s="19"/>
      <c r="I39" s="19"/>
      <c r="L39" s="320"/>
      <c r="M39" s="320"/>
      <c r="N39" s="320"/>
      <c r="O39" s="320"/>
      <c r="P39" s="320"/>
      <c r="Q39" s="320"/>
    </row>
    <row r="40" spans="1:17" ht="12.75" customHeight="1" x14ac:dyDescent="0.2">
      <c r="A40" s="228">
        <v>5</v>
      </c>
      <c r="B40" s="481"/>
      <c r="C40" s="482"/>
      <c r="D40" s="482"/>
      <c r="E40" s="482"/>
      <c r="F40" s="482"/>
      <c r="G40" s="483"/>
      <c r="H40" s="19"/>
      <c r="I40" s="19"/>
      <c r="J40" s="320"/>
      <c r="K40" s="320"/>
      <c r="L40" s="320"/>
      <c r="M40" s="320"/>
      <c r="N40" s="320"/>
      <c r="O40" s="320"/>
      <c r="P40" s="320"/>
      <c r="Q40" s="320"/>
    </row>
    <row r="41" spans="1:17" ht="12.75" customHeight="1" x14ac:dyDescent="0.2">
      <c r="A41" s="19"/>
      <c r="B41" s="675" t="s">
        <v>4</v>
      </c>
      <c r="C41" s="676"/>
      <c r="D41" s="676"/>
      <c r="E41" s="677"/>
      <c r="F41" s="675" t="s">
        <v>173</v>
      </c>
      <c r="G41" s="677"/>
      <c r="J41" s="320"/>
      <c r="K41" s="320"/>
      <c r="L41" s="320"/>
      <c r="M41" s="320"/>
      <c r="N41" s="320"/>
      <c r="O41" s="320"/>
      <c r="P41" s="320"/>
      <c r="Q41" s="320"/>
    </row>
    <row r="42" spans="1:17" ht="12.75" customHeight="1" x14ac:dyDescent="0.2">
      <c r="A42" s="474" t="s">
        <v>107</v>
      </c>
      <c r="B42" s="472" t="s">
        <v>171</v>
      </c>
      <c r="C42" s="475" t="s">
        <v>31</v>
      </c>
      <c r="D42" s="475" t="s">
        <v>26</v>
      </c>
      <c r="E42" s="478" t="s">
        <v>2</v>
      </c>
      <c r="F42" s="685" t="s">
        <v>12</v>
      </c>
      <c r="G42" s="685"/>
      <c r="H42" s="548" t="s">
        <v>201</v>
      </c>
      <c r="I42" s="403" t="s">
        <v>232</v>
      </c>
      <c r="J42" s="34" t="s">
        <v>175</v>
      </c>
      <c r="K42" s="34" t="s">
        <v>175</v>
      </c>
      <c r="L42" s="320"/>
      <c r="M42" s="320"/>
      <c r="N42" s="320"/>
      <c r="O42" s="320"/>
      <c r="P42" s="320"/>
      <c r="Q42" s="320"/>
    </row>
    <row r="43" spans="1:17" ht="12.75" customHeight="1" x14ac:dyDescent="0.2">
      <c r="A43" s="35" t="str">
        <f>"2"</f>
        <v>2</v>
      </c>
      <c r="B43" s="556"/>
      <c r="C43" s="386"/>
      <c r="D43" s="557"/>
      <c r="E43" s="387" t="str">
        <f>IF(J43,D43/SQRT(B43),"")</f>
        <v/>
      </c>
      <c r="F43" s="366" t="str">
        <f>IF(K43,C43-1.96*E43,"")</f>
        <v/>
      </c>
      <c r="G43" s="217" t="str">
        <f>IF(K43,C43+1.96*E43,"")</f>
        <v/>
      </c>
      <c r="H43" s="32"/>
      <c r="I43" s="32"/>
      <c r="J43" s="320" t="b">
        <f>AND(D43&gt;0,B43&gt;0,INT(B43)=B43)</f>
        <v>0</v>
      </c>
      <c r="K43" s="320" t="b">
        <f>AND(J43,NOT(ISBLANK(C43)))</f>
        <v>0</v>
      </c>
      <c r="L43" s="320"/>
      <c r="M43" s="320"/>
      <c r="N43" s="320"/>
      <c r="O43" s="320"/>
      <c r="P43" s="320"/>
      <c r="Q43" s="320"/>
    </row>
    <row r="44" spans="1:17" ht="12.75" customHeight="1" x14ac:dyDescent="0.2">
      <c r="A44" s="29" t="str">
        <f>"1 (Ref)"</f>
        <v>1 (Ref)</v>
      </c>
      <c r="B44" s="558"/>
      <c r="C44" s="388"/>
      <c r="D44" s="559"/>
      <c r="E44" s="367" t="str">
        <f>IF(J44,D44/SQRT(B44),"")</f>
        <v/>
      </c>
      <c r="F44" s="218" t="str">
        <f>IF(K44,C44-1.96*E44,"")</f>
        <v/>
      </c>
      <c r="G44" s="195" t="str">
        <f>IF(K44,C44+1.96*E44,"")</f>
        <v/>
      </c>
      <c r="H44" s="32"/>
      <c r="I44" s="32"/>
      <c r="J44" s="320" t="b">
        <f>AND(D44&gt;0,B44&gt;0,INT(B44)=B44)</f>
        <v>0</v>
      </c>
      <c r="K44" s="320" t="b">
        <f>AND(J44,NOT(ISBLANK(C44)))</f>
        <v>0</v>
      </c>
      <c r="L44" s="320"/>
      <c r="M44" s="320"/>
      <c r="N44" s="320"/>
      <c r="O44" s="320"/>
      <c r="P44" s="320"/>
      <c r="Q44" s="320"/>
    </row>
    <row r="45" spans="1:17" ht="12.75" customHeight="1" x14ac:dyDescent="0.2">
      <c r="A45" s="29" t="s">
        <v>67</v>
      </c>
      <c r="B45" s="233"/>
      <c r="C45" s="367" t="str">
        <f>IF(K45,C43-C44,"")</f>
        <v/>
      </c>
      <c r="D45" s="367"/>
      <c r="E45" s="367" t="str">
        <f>IF(J45,SQRT(E43^2+E44^2),"")</f>
        <v/>
      </c>
      <c r="F45" s="477" t="str">
        <f>IF(K45,C45-1.96*E45,"")</f>
        <v/>
      </c>
      <c r="G45" s="195" t="str">
        <f>IF(K45,C45+1.96*E45,"")</f>
        <v/>
      </c>
      <c r="H45" s="106" t="str">
        <f>IF(K45,1/(E45^2),"")</f>
        <v/>
      </c>
      <c r="I45" s="106" t="str">
        <f>IF(K45,C45*H45,"")</f>
        <v/>
      </c>
      <c r="J45" s="320" t="b">
        <f>AND(J43,J44)</f>
        <v>0</v>
      </c>
      <c r="K45" s="320" t="b">
        <f>AND(K43,K44)</f>
        <v>0</v>
      </c>
      <c r="L45" s="320"/>
      <c r="M45" s="320"/>
      <c r="N45" s="320"/>
      <c r="O45" s="320"/>
      <c r="P45" s="320"/>
      <c r="Q45" s="320"/>
    </row>
    <row r="46" spans="1:17" ht="12.75" customHeight="1" x14ac:dyDescent="0.2">
      <c r="A46" s="325"/>
      <c r="B46" s="325"/>
      <c r="C46" s="325"/>
      <c r="D46" s="325"/>
      <c r="E46" s="325"/>
      <c r="F46" s="325"/>
      <c r="G46" s="325"/>
      <c r="H46" s="325"/>
      <c r="I46" s="325"/>
      <c r="J46" s="325"/>
      <c r="K46" s="320"/>
      <c r="L46" s="320"/>
      <c r="M46" s="320"/>
      <c r="N46" s="320"/>
      <c r="O46" s="320"/>
      <c r="P46" s="320"/>
      <c r="Q46" s="320"/>
    </row>
    <row r="47" spans="1:17" ht="12.75" customHeight="1" x14ac:dyDescent="0.2">
      <c r="A47" s="320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</row>
    <row r="48" spans="1:17" ht="12.75" customHeight="1" x14ac:dyDescent="0.2">
      <c r="C48" s="553" t="s">
        <v>16</v>
      </c>
      <c r="D48" s="150"/>
      <c r="E48" s="150"/>
      <c r="H48" s="150"/>
      <c r="I48" s="150"/>
      <c r="J48" s="19"/>
      <c r="K48" s="320"/>
      <c r="L48" s="320"/>
      <c r="M48" s="320"/>
      <c r="N48" s="320"/>
      <c r="O48" s="320"/>
      <c r="P48" s="320"/>
      <c r="Q48" s="320"/>
    </row>
    <row r="49" spans="1:17" ht="12.75" customHeight="1" x14ac:dyDescent="0.2">
      <c r="C49" s="99" t="s">
        <v>242</v>
      </c>
      <c r="D49" s="97" t="s">
        <v>2</v>
      </c>
      <c r="E49" s="100" t="s">
        <v>12</v>
      </c>
      <c r="K49" s="19" t="b">
        <f>OR(K13,K21,K29,K37,K45)</f>
        <v>1</v>
      </c>
      <c r="L49" s="320"/>
      <c r="M49" s="320"/>
      <c r="N49" s="320"/>
      <c r="O49" s="320"/>
      <c r="P49" s="320"/>
      <c r="Q49" s="320"/>
    </row>
    <row r="50" spans="1:17" ht="12.75" customHeight="1" x14ac:dyDescent="0.2">
      <c r="C50" s="551">
        <f>IF(K49,I50/H50,"")</f>
        <v>-28.099668289824564</v>
      </c>
      <c r="D50" s="216">
        <f>IF(K49,SQRT(1/H50),"")</f>
        <v>25.455317323396127</v>
      </c>
      <c r="E50" s="549">
        <f>IF(K49,C50-1.96*D50,"")</f>
        <v>-77.992090243680963</v>
      </c>
      <c r="H50" s="106">
        <f>IF(K49,SUMIF(H13:H45,"&gt;0"),"")</f>
        <v>1.5432737508461508E-3</v>
      </c>
      <c r="I50" s="106">
        <f>IF(K49,SUMIF(I13:I45,"&lt;&gt;0"),"")</f>
        <v>-4.3365480479170201E-2</v>
      </c>
      <c r="K50" s="19"/>
      <c r="L50" s="320"/>
      <c r="M50" s="320"/>
      <c r="N50" s="320"/>
      <c r="O50" s="320"/>
      <c r="P50" s="320"/>
      <c r="Q50" s="320"/>
    </row>
    <row r="51" spans="1:17" ht="12.75" customHeight="1" x14ac:dyDescent="0.2">
      <c r="C51" s="552"/>
      <c r="D51" s="552"/>
      <c r="E51" s="550">
        <f>IF(K49,C50+1.96*D50,"")</f>
        <v>21.792753664031842</v>
      </c>
      <c r="H51" s="105"/>
      <c r="I51" s="105"/>
      <c r="K51" s="19"/>
      <c r="L51" s="320"/>
      <c r="M51" s="320"/>
      <c r="N51" s="320"/>
      <c r="O51" s="320"/>
      <c r="P51" s="320"/>
      <c r="Q51" s="320"/>
    </row>
    <row r="52" spans="1:17" ht="12.75" customHeight="1" x14ac:dyDescent="0.2">
      <c r="K52" s="19"/>
      <c r="L52" s="320"/>
      <c r="M52" s="320"/>
      <c r="N52" s="320"/>
      <c r="O52" s="320"/>
      <c r="P52" s="320"/>
      <c r="Q52" s="320"/>
    </row>
    <row r="53" spans="1:17" ht="12.75" customHeight="1" x14ac:dyDescent="0.2">
      <c r="A53" s="723" t="s">
        <v>243</v>
      </c>
      <c r="B53" s="724"/>
      <c r="C53" s="370">
        <v>0</v>
      </c>
      <c r="D53" s="158" t="s">
        <v>14</v>
      </c>
      <c r="E53" s="404">
        <f>IF(K53,(C50-C53)/D50,"")</f>
        <v>-1.1038820664788178</v>
      </c>
      <c r="F53" s="158" t="s">
        <v>203</v>
      </c>
      <c r="G53" s="404">
        <f>IF(K53,IF(2*(1-NORMSDIST(ABS(E53)))&gt;=0.001,2*(1-NORMSDIST(ABS(E53))),"&lt;0.001"),"")</f>
        <v>0.26964429916590626</v>
      </c>
      <c r="H53" s="106"/>
      <c r="I53" s="106"/>
      <c r="K53" s="470" t="b">
        <f>AND(K49,NOT(ISBLANK(C53)))</f>
        <v>1</v>
      </c>
      <c r="L53" s="320"/>
      <c r="M53" s="320"/>
      <c r="N53" s="320"/>
      <c r="O53" s="320"/>
      <c r="P53" s="320"/>
      <c r="Q53" s="320"/>
    </row>
    <row r="54" spans="1:17" ht="12.75" customHeight="1" x14ac:dyDescent="0.2">
      <c r="A54" s="428"/>
      <c r="B54" s="479"/>
      <c r="C54" s="427"/>
      <c r="D54" s="427"/>
      <c r="E54" s="106"/>
      <c r="F54" s="106"/>
      <c r="G54" s="106"/>
      <c r="H54" s="106"/>
      <c r="I54" s="106"/>
      <c r="L54" s="320"/>
      <c r="M54" s="320"/>
      <c r="N54" s="320"/>
      <c r="O54" s="320"/>
      <c r="P54" s="320"/>
      <c r="Q54" s="320"/>
    </row>
    <row r="55" spans="1:17" ht="12.75" customHeight="1" x14ac:dyDescent="0.2">
      <c r="L55" s="320"/>
      <c r="M55" s="320"/>
      <c r="N55" s="320"/>
      <c r="O55" s="320"/>
      <c r="P55" s="320"/>
      <c r="Q55" s="320"/>
    </row>
    <row r="56" spans="1:17" ht="12.75" customHeight="1" x14ac:dyDescent="0.2">
      <c r="A56" s="554" t="s">
        <v>241</v>
      </c>
      <c r="B56" s="476"/>
      <c r="C56" s="476"/>
      <c r="D56" s="476"/>
      <c r="E56" s="106"/>
      <c r="F56" s="106"/>
      <c r="G56" s="106"/>
      <c r="K56" s="320"/>
      <c r="L56" s="320"/>
      <c r="M56" s="320"/>
      <c r="N56" s="320"/>
      <c r="O56" s="320"/>
      <c r="P56" s="320"/>
      <c r="Q56" s="320"/>
    </row>
    <row r="57" spans="1:17" ht="12.75" customHeight="1" x14ac:dyDescent="0.2">
      <c r="A57" s="37" t="s">
        <v>92</v>
      </c>
      <c r="B57" s="475" t="s">
        <v>158</v>
      </c>
      <c r="C57" s="474" t="s">
        <v>242</v>
      </c>
      <c r="D57" s="217" t="s">
        <v>2</v>
      </c>
      <c r="E57" s="675" t="s">
        <v>12</v>
      </c>
      <c r="F57" s="677"/>
      <c r="K57" s="320"/>
      <c r="L57" s="320"/>
      <c r="M57" s="320"/>
      <c r="N57" s="320"/>
      <c r="O57" s="320"/>
      <c r="P57" s="320"/>
      <c r="Q57" s="320"/>
    </row>
    <row r="58" spans="1:17" x14ac:dyDescent="0.2">
      <c r="A58" s="170">
        <v>1</v>
      </c>
      <c r="B58" s="423" t="str">
        <f>IF(K58,IF(ISBLANK(CHOOSE(A58,B8,B16,B24,B32,B40)),"",CHOOSE(A58,B8,B16,B24,B32,B40)),"")</f>
        <v>Drug A</v>
      </c>
      <c r="C58" s="562">
        <f>IF(K58,CHOOSE(A58,C13,C21,C29,C37,C45),"")</f>
        <v>-40</v>
      </c>
      <c r="D58" s="560">
        <f>IF(K58,CHOOSE(A58,E13,E21,E29,E37,E45),"")</f>
        <v>39.999991260407377</v>
      </c>
      <c r="E58" s="563">
        <f>IF(K58,CHOOSE(A58,F13,F21,F29,F37,F45),"")</f>
        <v>-118.39998287039846</v>
      </c>
      <c r="F58" s="564">
        <f>IF(K58,CHOOSE(A58,G13,G21,G29,G37,G45),"")</f>
        <v>38.39998287039846</v>
      </c>
      <c r="K58" s="19" t="b">
        <f>IF(NOT(ISBLANK(A58)),CHOOSE(A58,K13,K21,K29,K37,K45),FALSE)</f>
        <v>1</v>
      </c>
      <c r="L58" s="320"/>
      <c r="M58" s="320"/>
      <c r="N58" s="320"/>
      <c r="O58" s="320"/>
      <c r="P58" s="320"/>
      <c r="Q58" s="320"/>
    </row>
    <row r="59" spans="1:17" x14ac:dyDescent="0.2">
      <c r="A59" s="164">
        <v>2</v>
      </c>
      <c r="B59" s="424" t="str">
        <f>IF(K59,IF(ISBLANK(CHOOSE(A59,B8,B16,B24,B32,B40)),"",CHOOSE(A59,B8,B16,B24,B32,B40)),"")</f>
        <v>Drug B</v>
      </c>
      <c r="C59" s="565">
        <f>IF(K59,CHOOSE(A59,C13,C21,C29,C37,C45),"")</f>
        <v>-20</v>
      </c>
      <c r="D59" s="561">
        <f>IF(K59,CHOOSE(A59,E13,E21,E29,E37,E45),"")</f>
        <v>33.000003015340774</v>
      </c>
      <c r="E59" s="567">
        <f>IF(K59,CHOOSE(A59,F13,F21,F29,F37,F45),"")</f>
        <v>-84.680005910067919</v>
      </c>
      <c r="F59" s="566">
        <f>IF(K59,CHOOSE(A59,G13,G21,G29,G37,G45),"")</f>
        <v>44.680005910067919</v>
      </c>
      <c r="K59" s="19" t="b">
        <f>IF(NOT(ISBLANK(A59)),CHOOSE(A59,K13,K21,K29,K37,K45),FALSE)</f>
        <v>1</v>
      </c>
      <c r="L59" s="320"/>
      <c r="M59" s="320"/>
      <c r="N59" s="320"/>
      <c r="O59" s="320"/>
      <c r="P59" s="320"/>
      <c r="Q59" s="320"/>
    </row>
    <row r="60" spans="1:17" x14ac:dyDescent="0.2">
      <c r="A60" s="29" t="s">
        <v>67</v>
      </c>
      <c r="B60" s="103"/>
      <c r="C60" s="129">
        <f>IF(K60,C58-C59,"")</f>
        <v>-20</v>
      </c>
      <c r="D60" s="477">
        <f>IF(K60,SQRT(D58^2+D59^2),"")</f>
        <v>51.855563827280548</v>
      </c>
      <c r="E60" s="477">
        <f>IF(K60,C60-1.96*D60,"")</f>
        <v>-121.63690510146988</v>
      </c>
      <c r="F60" s="229">
        <f>IF(K60,C60+1.96*D60,"")</f>
        <v>81.636905101469878</v>
      </c>
      <c r="G60" s="106"/>
      <c r="H60" s="106"/>
      <c r="I60" s="106"/>
      <c r="K60" s="19" t="b">
        <f>AND(K58,K59)</f>
        <v>1</v>
      </c>
      <c r="L60" s="320"/>
      <c r="M60" s="320"/>
      <c r="N60" s="320"/>
      <c r="O60" s="320"/>
      <c r="P60" s="320"/>
      <c r="Q60" s="320"/>
    </row>
    <row r="61" spans="1:17" x14ac:dyDescent="0.2">
      <c r="A61" s="34"/>
      <c r="B61" s="475"/>
      <c r="C61" s="108"/>
      <c r="D61" s="108"/>
      <c r="E61" s="85"/>
      <c r="F61" s="106"/>
      <c r="G61" s="106"/>
      <c r="H61" s="106"/>
      <c r="I61" s="106"/>
      <c r="K61" s="19"/>
      <c r="L61" s="320"/>
      <c r="M61" s="320"/>
      <c r="N61" s="320"/>
      <c r="O61" s="320"/>
      <c r="P61" s="320"/>
      <c r="Q61" s="320"/>
    </row>
    <row r="62" spans="1:17" x14ac:dyDescent="0.2">
      <c r="A62" s="723" t="s">
        <v>152</v>
      </c>
      <c r="B62" s="724"/>
      <c r="C62" s="370">
        <v>0</v>
      </c>
      <c r="D62" s="427" t="s">
        <v>14</v>
      </c>
      <c r="E62" s="404">
        <f>IF(K62,(C60-C62)/D60,"")</f>
        <v>-0.38568667513896082</v>
      </c>
      <c r="F62" s="427" t="s">
        <v>203</v>
      </c>
      <c r="G62" s="404">
        <f>IF(K62,IF(2*(1-NORMSDIST(ABS(E62)))&gt;=0.001,2*(1-NORMSDIST(ABS(E62))),"&lt;0.001"),"")</f>
        <v>0.69972873244646583</v>
      </c>
      <c r="H62" s="106"/>
      <c r="I62" s="106"/>
      <c r="K62" s="19" t="b">
        <f>AND(K60,NOT(ISBLANK(C62)))</f>
        <v>1</v>
      </c>
      <c r="L62" s="320"/>
      <c r="M62" s="320"/>
      <c r="N62" s="320"/>
      <c r="O62" s="320"/>
      <c r="P62" s="320"/>
      <c r="Q62" s="320"/>
    </row>
    <row r="63" spans="1:17" x14ac:dyDescent="0.2">
      <c r="H63" s="106"/>
      <c r="I63" s="106"/>
      <c r="L63" s="320"/>
      <c r="M63" s="320"/>
      <c r="N63" s="320"/>
      <c r="O63" s="320"/>
      <c r="P63" s="320"/>
      <c r="Q63" s="320"/>
    </row>
    <row r="64" spans="1:17" x14ac:dyDescent="0.2">
      <c r="A64" s="393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20"/>
      <c r="N64" s="320"/>
      <c r="O64" s="320"/>
      <c r="P64" s="320"/>
      <c r="Q64" s="320"/>
    </row>
    <row r="65" spans="1:17" x14ac:dyDescent="0.2">
      <c r="A65" s="393"/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20"/>
      <c r="N65" s="320"/>
      <c r="O65" s="320"/>
      <c r="P65" s="320"/>
      <c r="Q65" s="320"/>
    </row>
    <row r="66" spans="1:17" x14ac:dyDescent="0.2">
      <c r="A66" s="393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20"/>
      <c r="N66" s="320"/>
      <c r="O66" s="320"/>
      <c r="P66" s="320"/>
      <c r="Q66" s="320"/>
    </row>
    <row r="67" spans="1:17" x14ac:dyDescent="0.2">
      <c r="A67" s="393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20"/>
      <c r="N67" s="320"/>
      <c r="O67" s="320"/>
      <c r="P67" s="320"/>
      <c r="Q67" s="320"/>
    </row>
    <row r="68" spans="1:17" x14ac:dyDescent="0.2">
      <c r="A68" s="393"/>
      <c r="B68" s="393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20"/>
      <c r="N68" s="320"/>
      <c r="O68" s="320"/>
      <c r="P68" s="320"/>
      <c r="Q68" s="320"/>
    </row>
    <row r="69" spans="1:17" x14ac:dyDescent="0.2">
      <c r="A69" s="393"/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20"/>
      <c r="N69" s="320"/>
      <c r="O69" s="320"/>
      <c r="P69" s="320"/>
      <c r="Q69" s="320"/>
    </row>
    <row r="70" spans="1:17" x14ac:dyDescent="0.2">
      <c r="A70" s="393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20"/>
      <c r="N70" s="320"/>
      <c r="O70" s="320"/>
      <c r="P70" s="320"/>
      <c r="Q70" s="320"/>
    </row>
    <row r="71" spans="1:17" x14ac:dyDescent="0.2">
      <c r="A71" s="393"/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20"/>
      <c r="N71" s="320"/>
      <c r="O71" s="320"/>
      <c r="P71" s="320"/>
      <c r="Q71" s="320"/>
    </row>
    <row r="72" spans="1:17" x14ac:dyDescent="0.2">
      <c r="A72" s="393"/>
      <c r="B72" s="393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20"/>
      <c r="N72" s="320"/>
      <c r="O72" s="320"/>
      <c r="P72" s="320"/>
      <c r="Q72" s="320"/>
    </row>
    <row r="73" spans="1:17" x14ac:dyDescent="0.2">
      <c r="A73" s="393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20"/>
      <c r="N73" s="320"/>
      <c r="O73" s="320"/>
      <c r="P73" s="320"/>
      <c r="Q73" s="320"/>
    </row>
    <row r="74" spans="1:17" x14ac:dyDescent="0.2">
      <c r="A74" s="320"/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</row>
    <row r="75" spans="1:17" x14ac:dyDescent="0.2">
      <c r="A75" s="320"/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</row>
    <row r="76" spans="1:17" x14ac:dyDescent="0.2">
      <c r="A76" s="320"/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</row>
    <row r="77" spans="1:17" x14ac:dyDescent="0.2">
      <c r="A77" s="320"/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</row>
    <row r="78" spans="1:17" x14ac:dyDescent="0.2">
      <c r="A78" s="320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</row>
    <row r="79" spans="1:17" x14ac:dyDescent="0.2">
      <c r="A79" s="320"/>
      <c r="B79" s="320"/>
      <c r="C79" s="320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</row>
    <row r="80" spans="1:17" x14ac:dyDescent="0.2">
      <c r="A80" s="320"/>
      <c r="B80" s="320"/>
      <c r="C80" s="320"/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</row>
    <row r="81" spans="1:17" x14ac:dyDescent="0.2">
      <c r="A81" s="320"/>
      <c r="B81" s="320"/>
      <c r="C81" s="320"/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</row>
    <row r="82" spans="1:17" x14ac:dyDescent="0.2">
      <c r="A82" s="320"/>
      <c r="B82" s="320"/>
      <c r="C82" s="320"/>
      <c r="D82" s="320"/>
      <c r="E82" s="320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</row>
    <row r="83" spans="1:17" x14ac:dyDescent="0.2">
      <c r="A83" s="320"/>
      <c r="B83" s="320"/>
      <c r="C83" s="320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</row>
    <row r="84" spans="1:17" x14ac:dyDescent="0.2">
      <c r="A84" s="320"/>
      <c r="B84" s="320"/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</row>
    <row r="85" spans="1:17" x14ac:dyDescent="0.2">
      <c r="A85" s="320"/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</row>
    <row r="86" spans="1:17" x14ac:dyDescent="0.2">
      <c r="A86" s="320"/>
      <c r="B86" s="320"/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</row>
    <row r="87" spans="1:17" x14ac:dyDescent="0.2">
      <c r="A87" s="320"/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</row>
    <row r="88" spans="1:17" x14ac:dyDescent="0.2">
      <c r="A88" s="320"/>
      <c r="B88" s="320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</row>
    <row r="89" spans="1:17" x14ac:dyDescent="0.2">
      <c r="A89" s="320"/>
      <c r="B89" s="320"/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</row>
    <row r="90" spans="1:17" x14ac:dyDescent="0.2">
      <c r="A90" s="320"/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</row>
    <row r="91" spans="1:17" x14ac:dyDescent="0.2">
      <c r="A91" s="320"/>
      <c r="B91" s="320"/>
      <c r="C91" s="320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</row>
    <row r="92" spans="1:17" x14ac:dyDescent="0.2">
      <c r="A92" s="320"/>
      <c r="B92" s="320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</row>
    <row r="93" spans="1:17" x14ac:dyDescent="0.2">
      <c r="A93" s="320"/>
      <c r="B93" s="320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</row>
    <row r="94" spans="1:17" x14ac:dyDescent="0.2">
      <c r="A94" s="320"/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</row>
    <row r="95" spans="1:17" x14ac:dyDescent="0.2">
      <c r="A95" s="320"/>
      <c r="B95" s="320"/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</row>
    <row r="96" spans="1:17" x14ac:dyDescent="0.2">
      <c r="A96" s="320"/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</row>
    <row r="97" spans="1:17" x14ac:dyDescent="0.2">
      <c r="A97" s="320"/>
      <c r="B97" s="320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</row>
    <row r="98" spans="1:17" x14ac:dyDescent="0.2">
      <c r="A98" s="320"/>
      <c r="B98" s="320"/>
      <c r="C98" s="32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</row>
    <row r="99" spans="1:17" x14ac:dyDescent="0.2">
      <c r="A99" s="320"/>
      <c r="B99" s="320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</row>
    <row r="100" spans="1:17" x14ac:dyDescent="0.2">
      <c r="A100" s="320"/>
      <c r="B100" s="320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</row>
    <row r="101" spans="1:17" x14ac:dyDescent="0.2">
      <c r="A101" s="320"/>
      <c r="B101" s="320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</row>
    <row r="102" spans="1:17" x14ac:dyDescent="0.2">
      <c r="A102" s="320"/>
      <c r="B102" s="320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</row>
    <row r="103" spans="1:17" x14ac:dyDescent="0.2">
      <c r="A103" s="320"/>
      <c r="B103" s="320"/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</row>
    <row r="104" spans="1:17" x14ac:dyDescent="0.2">
      <c r="A104" s="320"/>
      <c r="B104" s="320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</row>
    <row r="105" spans="1:17" x14ac:dyDescent="0.2">
      <c r="A105" s="320"/>
      <c r="B105" s="320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</row>
    <row r="106" spans="1:17" x14ac:dyDescent="0.2">
      <c r="A106" s="320"/>
      <c r="B106" s="320"/>
      <c r="C106" s="32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</row>
    <row r="107" spans="1:17" x14ac:dyDescent="0.2">
      <c r="A107" s="320"/>
      <c r="B107" s="320"/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</row>
    <row r="108" spans="1:17" x14ac:dyDescent="0.2">
      <c r="A108" s="320"/>
      <c r="B108" s="320"/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</row>
    <row r="109" spans="1:17" x14ac:dyDescent="0.2">
      <c r="A109" s="320"/>
      <c r="B109" s="320"/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</row>
  </sheetData>
  <sheetProtection sheet="1" formatCells="0" formatColumns="0" formatRows="0"/>
  <mergeCells count="20">
    <mergeCell ref="A4:G4"/>
    <mergeCell ref="A5:G5"/>
    <mergeCell ref="B25:E25"/>
    <mergeCell ref="F25:G25"/>
    <mergeCell ref="F26:G26"/>
    <mergeCell ref="B9:E9"/>
    <mergeCell ref="A62:B62"/>
    <mergeCell ref="F9:G9"/>
    <mergeCell ref="F10:G10"/>
    <mergeCell ref="B17:E17"/>
    <mergeCell ref="F17:G17"/>
    <mergeCell ref="F18:G18"/>
    <mergeCell ref="B33:E33"/>
    <mergeCell ref="F33:G33"/>
    <mergeCell ref="F34:G34"/>
    <mergeCell ref="B41:E41"/>
    <mergeCell ref="F41:G41"/>
    <mergeCell ref="F42:G42"/>
    <mergeCell ref="A53:B53"/>
    <mergeCell ref="E57:F5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Start</vt:lpstr>
      <vt:lpstr>D Means</vt:lpstr>
      <vt:lpstr>D Props</vt:lpstr>
      <vt:lpstr>D Rates</vt:lpstr>
      <vt:lpstr>C Means</vt:lpstr>
      <vt:lpstr>C Props</vt:lpstr>
      <vt:lpstr>C Rates</vt:lpstr>
      <vt:lpstr>Tables</vt:lpstr>
      <vt:lpstr>Str MD</vt:lpstr>
      <vt:lpstr>Str RD</vt:lpstr>
      <vt:lpstr>Str RR</vt:lpstr>
      <vt:lpstr>Str OR</vt:lpstr>
      <vt:lpstr>Str IRR</vt:lpstr>
      <vt:lpstr>Str OR (MH)</vt:lpstr>
      <vt:lpstr>Str Any 1</vt:lpstr>
      <vt:lpstr>Str Any 2</vt:lpstr>
      <vt:lpstr>Correlations</vt:lpstr>
      <vt:lpstr>P Values</vt:lpstr>
      <vt:lpstr>Sample Size</vt:lpstr>
      <vt:lpstr>'C Means'!Print_Area</vt:lpstr>
      <vt:lpstr>'C Props'!Print_Area</vt:lpstr>
      <vt:lpstr>'C Rates'!Print_Area</vt:lpstr>
      <vt:lpstr>'D Means'!Print_Area</vt:lpstr>
      <vt:lpstr>'D Props'!Print_Area</vt:lpstr>
      <vt:lpstr>'D Rates'!Print_Area</vt:lpstr>
      <vt:lpstr>'P Values'!Print_Area</vt:lpstr>
      <vt:lpstr>'Sample Size'!Print_Area</vt:lpstr>
      <vt:lpstr>Start!Print_Area</vt:lpstr>
      <vt:lpstr>'Str Any 1'!Print_Area</vt:lpstr>
      <vt:lpstr>'Str Any 2'!Print_Area</vt:lpstr>
      <vt:lpstr>'Str IRR'!Print_Area</vt:lpstr>
      <vt:lpstr>'Str MD'!Print_Area</vt:lpstr>
      <vt:lpstr>'Str OR'!Print_Area</vt:lpstr>
      <vt:lpstr>'Str OR (MH)'!Print_Area</vt:lpstr>
      <vt:lpstr>'Str RD'!Print_Area</vt:lpstr>
      <vt:lpstr>'Str RR'!Print_Area</vt:lpstr>
      <vt:lpstr>Tables!Print_Area</vt:lpstr>
    </vt:vector>
  </TitlesOfParts>
  <Company>Dept. of Epidemiology and Social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Juul</dc:creator>
  <cp:lastModifiedBy>Stefan Nygaard Hansen</cp:lastModifiedBy>
  <cp:lastPrinted>2013-06-14T12:00:47Z</cp:lastPrinted>
  <dcterms:created xsi:type="dcterms:W3CDTF">2002-02-18T07:44:04Z</dcterms:created>
  <dcterms:modified xsi:type="dcterms:W3CDTF">2023-05-02T06:27:39Z</dcterms:modified>
</cp:coreProperties>
</file>